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5360" windowHeight="7935" activeTab="0"/>
  </bookViews>
  <sheets>
    <sheet name="InputSheet -Cal Poly" sheetId="1" r:id="rId1"/>
    <sheet name="InputSheet- Non Cal Poly" sheetId="2" r:id="rId2"/>
    <sheet name="Data Background-Cal Poly" sheetId="3" r:id="rId3"/>
    <sheet name="Data Background-Non Cal Poly" sheetId="4" r:id="rId4"/>
    <sheet name="DataCalculations-Cal Poly" sheetId="5" r:id="rId5"/>
    <sheet name="DataCalculations-Non Cal Poly" sheetId="6" r:id="rId6"/>
  </sheets>
  <definedNames/>
  <calcPr fullCalcOnLoad="1"/>
</workbook>
</file>

<file path=xl/sharedStrings.xml><?xml version="1.0" encoding="utf-8"?>
<sst xmlns="http://schemas.openxmlformats.org/spreadsheetml/2006/main" count="486" uniqueCount="131">
  <si>
    <t xml:space="preserve">Principal </t>
  </si>
  <si>
    <t>&amp; Interest</t>
  </si>
  <si>
    <t>2% down payment</t>
  </si>
  <si>
    <t>Property</t>
  </si>
  <si>
    <t>Taxes</t>
  </si>
  <si>
    <t>HOA</t>
  </si>
  <si>
    <t>Annual Property Taxes</t>
  </si>
  <si>
    <t>Monthly P &amp; I</t>
  </si>
  <si>
    <t>Monthly Prop Taxes</t>
  </si>
  <si>
    <t>Annual</t>
  </si>
  <si>
    <t>1st Loan amount</t>
  </si>
  <si>
    <t xml:space="preserve">Annual </t>
  </si>
  <si>
    <t>1st Loan</t>
  </si>
  <si>
    <t>Year</t>
  </si>
  <si>
    <t>Ground</t>
  </si>
  <si>
    <t>Rent</t>
  </si>
  <si>
    <t>Monthly Ground Rent Years 1 - 5</t>
  </si>
  <si>
    <t>Monthly Ground Rent Years 6 - 8</t>
  </si>
  <si>
    <t>Monthly Ground Rent Years 9 - 30</t>
  </si>
  <si>
    <t xml:space="preserve">Total </t>
  </si>
  <si>
    <t>FSHAP 20% @</t>
  </si>
  <si>
    <t>Compounded</t>
  </si>
  <si>
    <t>Annually</t>
  </si>
  <si>
    <t>at 5%</t>
  </si>
  <si>
    <t>Price</t>
  </si>
  <si>
    <t>at 2%</t>
  </si>
  <si>
    <t>1st</t>
  </si>
  <si>
    <t>Loan Amount</t>
  </si>
  <si>
    <t>Outstanding</t>
  </si>
  <si>
    <t xml:space="preserve">Cash </t>
  </si>
  <si>
    <t>at Year End</t>
  </si>
  <si>
    <t>Fair Oaks Faculty Staff Housing Program Assumptions</t>
  </si>
  <si>
    <t>Dues</t>
  </si>
  <si>
    <t>Payment</t>
  </si>
  <si>
    <t>FSHAP Loan</t>
  </si>
  <si>
    <t>(1)</t>
  </si>
  <si>
    <t>(2)</t>
  </si>
  <si>
    <t>(3)</t>
  </si>
  <si>
    <t>(4)</t>
  </si>
  <si>
    <t>(6)</t>
  </si>
  <si>
    <t>(7)</t>
  </si>
  <si>
    <t>Resale</t>
  </si>
  <si>
    <t>(Sum of</t>
  </si>
  <si>
    <t>1 thru 4)</t>
  </si>
  <si>
    <t>Total Monthly</t>
  </si>
  <si>
    <t>interest and principal paid monthly</t>
  </si>
  <si>
    <t>(8)</t>
  </si>
  <si>
    <t>Interest</t>
  </si>
  <si>
    <t>Potential</t>
  </si>
  <si>
    <t>Tax</t>
  </si>
  <si>
    <t>Savings</t>
  </si>
  <si>
    <t xml:space="preserve">Term </t>
  </si>
  <si>
    <t>Years</t>
  </si>
  <si>
    <t>Mortgage Amortization</t>
  </si>
  <si>
    <t>Inputs</t>
  </si>
  <si>
    <t>Key Figures</t>
  </si>
  <si>
    <t>Loan principal amount</t>
  </si>
  <si>
    <t>Annual loan payments</t>
  </si>
  <si>
    <t>Annual interest rate</t>
  </si>
  <si>
    <t>Monthly payments</t>
  </si>
  <si>
    <t>Loan period in years</t>
  </si>
  <si>
    <t>Interest in first calendar year</t>
  </si>
  <si>
    <t>Base year of loan</t>
  </si>
  <si>
    <t>Interest over term of loan</t>
  </si>
  <si>
    <t>Base month of loan</t>
  </si>
  <si>
    <t>Sum of all payments</t>
  </si>
  <si>
    <t>Payments in First 12 Months</t>
  </si>
  <si>
    <t>Month</t>
  </si>
  <si>
    <t>Beginning Balance</t>
  </si>
  <si>
    <t xml:space="preserve">Payment </t>
  </si>
  <si>
    <t xml:space="preserve">Interest </t>
  </si>
  <si>
    <t>Cumulative Principal</t>
  </si>
  <si>
    <t>Cumulative Interest</t>
  </si>
  <si>
    <t>Ending Balance</t>
  </si>
  <si>
    <t>Yearly Schedule of Balances and Payments</t>
  </si>
  <si>
    <t>Principal</t>
  </si>
  <si>
    <t>DO NOT ERASE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</si>
  <si>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</si>
  <si>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</si>
  <si>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</si>
  <si>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</si>
  <si>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</si>
  <si>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</si>
  <si>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</si>
  <si>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</si>
  <si>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</si>
  <si>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</si>
  <si>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</si>
  <si>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</si>
  <si>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Months</t>
  </si>
  <si>
    <t>Base Year</t>
  </si>
  <si>
    <t>Last Year</t>
  </si>
  <si>
    <t>Mos in Last Yr</t>
  </si>
  <si>
    <t>Tax Rate)</t>
  </si>
  <si>
    <t>(Assuming</t>
  </si>
  <si>
    <t>Monthly  HOA Years 1-3</t>
  </si>
  <si>
    <t>Monthly HOA Years 4+</t>
  </si>
  <si>
    <t>Years 4-5</t>
  </si>
  <si>
    <t>Years 6-8</t>
  </si>
  <si>
    <t>Years 9-30</t>
  </si>
  <si>
    <t>Purchase Price</t>
  </si>
  <si>
    <t>Year 1</t>
  </si>
  <si>
    <t xml:space="preserve">(8 minus </t>
  </si>
  <si>
    <t>sum of</t>
  </si>
  <si>
    <t>6 and 7)</t>
  </si>
  <si>
    <t>no ongoing payments; loan to be repaid at earlier of: [i] sale or [ii] payoff of of first mortgage at end of its term</t>
  </si>
  <si>
    <t xml:space="preserve">Market conditions or the way you maintain the home may affect whether you are able to resell it at the maximum resale price. </t>
  </si>
  <si>
    <t>There is no guarantee that a home will sell for the maximum resale price.</t>
  </si>
  <si>
    <t xml:space="preserve">* </t>
  </si>
  <si>
    <t xml:space="preserve">The above example is for illustrative purposes only and does not necessarily reflect the actual home price of any actual unit.       </t>
  </si>
  <si>
    <t xml:space="preserve">From </t>
  </si>
  <si>
    <t>Home</t>
  </si>
  <si>
    <t>Sale*</t>
  </si>
  <si>
    <t>April 2008</t>
  </si>
  <si>
    <t>Cash from home sale figure does not deduct for sale transaction costs such as sales facilitation fees and closing costs that are borne by the seller.</t>
  </si>
  <si>
    <t xml:space="preserve">As of the date of this diagram, the rate of increase in home value depicted in the example is slightly less than the recent historical average increase in the C.P.I., </t>
  </si>
  <si>
    <t>which is the basis for the program's maximum resale price index.  However, past performance is no guarantee of future performance.</t>
  </si>
  <si>
    <r>
      <rPr>
        <b/>
        <u val="single"/>
        <sz val="10"/>
        <color indexed="10"/>
        <rFont val="Arial"/>
        <family val="2"/>
      </rPr>
      <t>Disclaimer</t>
    </r>
    <r>
      <rPr>
        <b/>
        <sz val="10"/>
        <color indexed="10"/>
        <rFont val="Arial"/>
        <family val="2"/>
      </rPr>
      <t xml:space="preserve">: The figures presented in this diagram are approximations; your actual figures may vary. </t>
    </r>
  </si>
  <si>
    <t>The diagram does not reflect any CPI or rate adjustments for ground lease payments or any inflation adjustments for HOA dues.</t>
  </si>
  <si>
    <t>2% maximum annual rise per current CA law</t>
  </si>
  <si>
    <t>Sample Interest Rate</t>
  </si>
  <si>
    <r>
      <rPr>
        <b/>
        <u val="single"/>
        <sz val="10"/>
        <color indexed="10"/>
        <rFont val="Arial"/>
        <family val="2"/>
      </rPr>
      <t>Disclaimer</t>
    </r>
    <r>
      <rPr>
        <b/>
        <sz val="10"/>
        <color indexed="10"/>
        <rFont val="Arial"/>
        <family val="2"/>
      </rPr>
      <t xml:space="preserve">: The figures presented in this diagram are approximations; your actual figures may vary. </t>
    </r>
  </si>
  <si>
    <t>(5)</t>
  </si>
  <si>
    <t xml:space="preserve">(6 minus </t>
  </si>
  <si>
    <t>5 and 4)</t>
  </si>
  <si>
    <t xml:space="preserve">(5 minus 4) </t>
  </si>
  <si>
    <t>down payment</t>
  </si>
  <si>
    <t>Fair Oaks Faculty Staff Housing Program Assumptions- Non Cal Poly</t>
  </si>
  <si>
    <t>Fair Oaks Faculty Staff Housing Program Assumptions Cal Poly Pomona Faculty and Staff</t>
  </si>
  <si>
    <t>Monthly  HOA</t>
  </si>
  <si>
    <t>Including Ground Rent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</si>
</sst>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_);_(* \(#,##0.0\);_(* &quot;-&quot;??_);_(@_)"/>
    <numFmt numFmtId="166" formatCode="_(* #,##0_);_(* \(#,##0\);_(* &quot;-&quot;??_);_(@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0.000%"/>
    <numFmt numFmtId="172" formatCode="0_)"/>
    <numFmt numFmtId="173" formatCode="&quot;$&quot;#,##0.00"/>
    <numFmt numFmtId="174" formatCode="_(&quot;$&quot;* #,##0.000_);_(&quot;$&quot;* \(#,##0.000\);_(&quot;$&quot;* &quot;-&quot;??_);_(@_)"/>
    <numFmt numFmtId="175" formatCode="_(&quot;$&quot;* #,##0.0000_);_(&quot;$&quot;* \(#,##0.0000\);_(&quot;$&quot;* &quot;-&quot;??_);_(@_)"/>
    <numFmt numFmtId="176" formatCode="_(&quot;$&quot;* #,##0.0_);_(&quot;$&quot;* \(#,##0.0\);_(&quot;$&quot;* &quot;-&quot;??_);_(@_)"/>
    <numFmt numFmtId="177" formatCode="_(&quot;$&quot;* #,##0_);_(&quot;$&quot;* \(#,##0\);_(&quot;$&quot;* &quot;-&quot;??_);_(@_)"/>
  </numFmts>
  <fonts count="34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b/>
      <sz val="10"/>
      <name val="Arial"/>
      <family val="2"/>
    </font>
    <font>
      <sz val="10"/>
      <name val="Tahoma"/>
      <family val="2"/>
    </font>
    <font>
      <sz val="20"/>
      <name val="Tahoma"/>
      <family val="2"/>
    </font>
    <font>
      <sz val="10"/>
      <color indexed="59"/>
      <name val="Tahoma"/>
      <family val="2"/>
    </font>
    <font>
      <b/>
      <sz val="10"/>
      <color indexed="9"/>
      <name val="Tahoma"/>
      <family val="2"/>
    </font>
    <font>
      <sz val="8"/>
      <name val="Tahoma"/>
      <family val="2"/>
    </font>
    <font>
      <sz val="10"/>
      <color indexed="23"/>
      <name val="Tahoma"/>
      <family val="2"/>
    </font>
    <font>
      <sz val="8"/>
      <color indexed="59"/>
      <name val="Tahoma"/>
      <family val="2"/>
    </font>
    <font>
      <b/>
      <sz val="10"/>
      <name val="Tahoma"/>
      <family val="2"/>
    </font>
    <font>
      <sz val="10"/>
      <color indexed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u val="single"/>
      <sz val="10"/>
      <color indexed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21" fillId="3" borderId="0" applyNumberFormat="0" applyBorder="0" applyAlignment="0" applyProtection="0"/>
    <xf numFmtId="0" fontId="25" fillId="20" borderId="1" applyNumberFormat="0" applyAlignment="0" applyProtection="0"/>
    <xf numFmtId="0" fontId="2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3" fillId="7" borderId="1" applyNumberFormat="0" applyAlignment="0" applyProtection="0"/>
    <xf numFmtId="0" fontId="26" fillId="0" borderId="6" applyNumberFormat="0" applyFill="0" applyAlignment="0" applyProtection="0"/>
    <xf numFmtId="0" fontId="22" fillId="22" borderId="0" applyNumberFormat="0" applyBorder="0" applyAlignment="0" applyProtection="0"/>
    <xf numFmtId="0" fontId="0" fillId="23" borderId="7" applyNumberFormat="0" applyFont="0" applyAlignment="0" applyProtection="0"/>
    <xf numFmtId="0" fontId="24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183">
    <xf numFmtId="0" fontId="0" fillId="0" borderId="0" xfId="0" applyAlignment="1">
      <alignment/>
    </xf>
    <xf numFmtId="166" fontId="0" fillId="0" borderId="0" xfId="42" applyNumberFormat="1" applyFont="1" applyAlignment="1">
      <alignment/>
    </xf>
    <xf numFmtId="166" fontId="0" fillId="0" borderId="0" xfId="42" applyNumberFormat="1" applyFont="1" applyAlignment="1">
      <alignment horizontal="center"/>
    </xf>
    <xf numFmtId="9" fontId="0" fillId="0" borderId="0" xfId="59" applyFont="1" applyAlignment="1">
      <alignment/>
    </xf>
    <xf numFmtId="166" fontId="0" fillId="0" borderId="0" xfId="42" applyNumberFormat="1" applyFont="1" applyAlignment="1">
      <alignment/>
    </xf>
    <xf numFmtId="166" fontId="0" fillId="0" borderId="0" xfId="42" applyNumberFormat="1" applyFont="1" applyAlignment="1">
      <alignment/>
    </xf>
    <xf numFmtId="166" fontId="0" fillId="0" borderId="0" xfId="42" applyNumberFormat="1" applyFont="1" applyAlignment="1">
      <alignment horizontal="center"/>
    </xf>
    <xf numFmtId="166" fontId="0" fillId="0" borderId="10" xfId="42" applyNumberFormat="1" applyFont="1" applyBorder="1" applyAlignment="1">
      <alignment horizontal="center"/>
    </xf>
    <xf numFmtId="166" fontId="0" fillId="0" borderId="10" xfId="42" applyNumberFormat="1" applyFont="1" applyBorder="1" applyAlignment="1">
      <alignment/>
    </xf>
    <xf numFmtId="166" fontId="3" fillId="0" borderId="0" xfId="42" applyNumberFormat="1" applyFont="1" applyAlignment="1">
      <alignment/>
    </xf>
    <xf numFmtId="44" fontId="0" fillId="0" borderId="0" xfId="44" applyFont="1" applyAlignment="1">
      <alignment/>
    </xf>
    <xf numFmtId="0" fontId="4" fillId="0" borderId="0" xfId="0" applyFont="1" applyFill="1" applyAlignment="1" applyProtection="1">
      <alignment horizontal="left"/>
      <protection/>
    </xf>
    <xf numFmtId="37" fontId="5" fillId="0" borderId="0" xfId="0" applyNumberFormat="1" applyFont="1" applyFill="1" applyBorder="1" applyAlignment="1" applyProtection="1">
      <alignment horizontal="left"/>
      <protection/>
    </xf>
    <xf numFmtId="0" fontId="4" fillId="0" borderId="0" xfId="0" applyFont="1" applyFill="1" applyBorder="1" applyAlignment="1" applyProtection="1">
      <alignment horizontal="left"/>
      <protection/>
    </xf>
    <xf numFmtId="0" fontId="4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4" fillId="0" borderId="0" xfId="0" applyFont="1" applyFill="1" applyAlignment="1" applyProtection="1">
      <alignment horizontal="left" vertical="center"/>
      <protection/>
    </xf>
    <xf numFmtId="37" fontId="5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6" fillId="0" borderId="0" xfId="0" applyFont="1" applyAlignment="1" applyProtection="1">
      <alignment horizontal="left" vertical="center"/>
      <protection/>
    </xf>
    <xf numFmtId="0" fontId="8" fillId="0" borderId="0" xfId="0" applyFont="1" applyFill="1" applyAlignment="1" applyProtection="1">
      <alignment horizontal="left" vertical="center"/>
      <protection/>
    </xf>
    <xf numFmtId="7" fontId="9" fillId="0" borderId="7" xfId="0" applyNumberFormat="1" applyFont="1" applyFill="1" applyBorder="1" applyAlignment="1" applyProtection="1">
      <alignment horizontal="left" vertical="center"/>
      <protection locked="0"/>
    </xf>
    <xf numFmtId="7" fontId="4" fillId="5" borderId="7" xfId="0" applyNumberFormat="1" applyFont="1" applyFill="1" applyBorder="1" applyAlignment="1" applyProtection="1">
      <alignment horizontal="right" vertical="center"/>
      <protection/>
    </xf>
    <xf numFmtId="0" fontId="8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171" fontId="9" fillId="0" borderId="7" xfId="0" applyNumberFormat="1" applyFont="1" applyFill="1" applyBorder="1" applyAlignment="1" applyProtection="1">
      <alignment horizontal="left" vertical="center"/>
      <protection locked="0"/>
    </xf>
    <xf numFmtId="37" fontId="9" fillId="0" borderId="7" xfId="0" applyNumberFormat="1" applyFont="1" applyFill="1" applyBorder="1" applyAlignment="1" applyProtection="1">
      <alignment horizontal="left" vertical="center"/>
      <protection locked="0"/>
    </xf>
    <xf numFmtId="172" fontId="9" fillId="0" borderId="7" xfId="0" applyNumberFormat="1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Alignment="1" applyProtection="1">
      <alignment horizontal="left" vertical="center" wrapText="1"/>
      <protection/>
    </xf>
    <xf numFmtId="39" fontId="7" fillId="21" borderId="11" xfId="0" applyNumberFormat="1" applyFont="1" applyFill="1" applyBorder="1" applyAlignment="1" applyProtection="1">
      <alignment horizontal="left" vertical="center" wrapText="1"/>
      <protection/>
    </xf>
    <xf numFmtId="39" fontId="7" fillId="21" borderId="7" xfId="0" applyNumberFormat="1" applyFont="1" applyFill="1" applyBorder="1" applyAlignment="1" applyProtection="1">
      <alignment horizontal="left" vertical="center" wrapText="1"/>
      <protection/>
    </xf>
    <xf numFmtId="0" fontId="7" fillId="21" borderId="12" xfId="0" applyFont="1" applyFill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6" fillId="0" borderId="0" xfId="0" applyFont="1" applyAlignment="1" applyProtection="1">
      <alignment horizontal="left" vertical="center" wrapText="1"/>
      <protection/>
    </xf>
    <xf numFmtId="172" fontId="4" fillId="5" borderId="7" xfId="0" applyNumberFormat="1" applyFont="1" applyFill="1" applyBorder="1" applyAlignment="1" applyProtection="1">
      <alignment horizontal="left" vertical="center"/>
      <protection/>
    </xf>
    <xf numFmtId="0" fontId="4" fillId="5" borderId="7" xfId="0" applyFont="1" applyFill="1" applyBorder="1" applyAlignment="1" applyProtection="1">
      <alignment horizontal="left" vertical="center"/>
      <protection/>
    </xf>
    <xf numFmtId="0" fontId="4" fillId="0" borderId="0" xfId="0" applyFont="1" applyFill="1" applyAlignment="1">
      <alignment horizontal="left" vertical="center"/>
    </xf>
    <xf numFmtId="0" fontId="7" fillId="21" borderId="7" xfId="0" applyFont="1" applyFill="1" applyBorder="1" applyAlignment="1" applyProtection="1">
      <alignment horizontal="left" vertical="center" wrapText="1"/>
      <protection/>
    </xf>
    <xf numFmtId="39" fontId="7" fillId="21" borderId="12" xfId="0" applyNumberFormat="1" applyFont="1" applyFill="1" applyBorder="1" applyAlignment="1" applyProtection="1">
      <alignment horizontal="left" vertical="center" wrapText="1"/>
      <protection/>
    </xf>
    <xf numFmtId="173" fontId="4" fillId="5" borderId="7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Alignment="1" applyProtection="1">
      <alignment horizontal="right" vertical="center"/>
      <protection/>
    </xf>
    <xf numFmtId="39" fontId="11" fillId="24" borderId="13" xfId="0" applyNumberFormat="1" applyFont="1" applyFill="1" applyBorder="1" applyAlignment="1" applyProtection="1">
      <alignment horizontal="left" vertical="center"/>
      <protection/>
    </xf>
    <xf numFmtId="39" fontId="6" fillId="24" borderId="14" xfId="0" applyNumberFormat="1" applyFont="1" applyFill="1" applyBorder="1" applyAlignment="1" applyProtection="1">
      <alignment horizontal="left" vertical="center"/>
      <protection/>
    </xf>
    <xf numFmtId="39" fontId="4" fillId="24" borderId="15" xfId="0" applyNumberFormat="1" applyFont="1" applyFill="1" applyBorder="1" applyAlignment="1" applyProtection="1">
      <alignment horizontal="left" vertical="center"/>
      <protection/>
    </xf>
    <xf numFmtId="39" fontId="4" fillId="24" borderId="16" xfId="0" applyNumberFormat="1" applyFont="1" applyFill="1" applyBorder="1" applyAlignment="1" applyProtection="1">
      <alignment horizontal="left" vertical="center"/>
      <protection/>
    </xf>
    <xf numFmtId="39" fontId="6" fillId="24" borderId="0" xfId="0" applyNumberFormat="1" applyFont="1" applyFill="1" applyAlignment="1" applyProtection="1">
      <alignment horizontal="left" vertical="center"/>
      <protection/>
    </xf>
    <xf numFmtId="39" fontId="4" fillId="24" borderId="17" xfId="0" applyNumberFormat="1" applyFont="1" applyFill="1" applyBorder="1" applyAlignment="1" applyProtection="1">
      <alignment horizontal="left" vertical="center"/>
      <protection/>
    </xf>
    <xf numFmtId="172" fontId="4" fillId="24" borderId="16" xfId="0" applyNumberFormat="1" applyFont="1" applyFill="1" applyBorder="1" applyAlignment="1" applyProtection="1">
      <alignment horizontal="left" vertical="center"/>
      <protection/>
    </xf>
    <xf numFmtId="0" fontId="4" fillId="24" borderId="17" xfId="0" applyNumberFormat="1" applyFont="1" applyFill="1" applyBorder="1" applyAlignment="1" applyProtection="1">
      <alignment horizontal="left" vertical="center"/>
      <protection/>
    </xf>
    <xf numFmtId="39" fontId="4" fillId="24" borderId="18" xfId="0" applyNumberFormat="1" applyFont="1" applyFill="1" applyBorder="1" applyAlignment="1" applyProtection="1">
      <alignment horizontal="left" vertical="center"/>
      <protection/>
    </xf>
    <xf numFmtId="39" fontId="6" fillId="24" borderId="19" xfId="0" applyNumberFormat="1" applyFont="1" applyFill="1" applyBorder="1" applyAlignment="1" applyProtection="1">
      <alignment horizontal="left" vertical="center"/>
      <protection/>
    </xf>
    <xf numFmtId="39" fontId="4" fillId="24" borderId="20" xfId="0" applyNumberFormat="1" applyFont="1" applyFill="1" applyBorder="1" applyAlignment="1" applyProtection="1">
      <alignment horizontal="left" vertical="center"/>
      <protection/>
    </xf>
    <xf numFmtId="166" fontId="12" fillId="0" borderId="0" xfId="42" applyNumberFormat="1" applyFont="1" applyAlignment="1">
      <alignment/>
    </xf>
    <xf numFmtId="9" fontId="0" fillId="0" borderId="0" xfId="42" applyNumberFormat="1" applyFont="1" applyAlignment="1">
      <alignment/>
    </xf>
    <xf numFmtId="166" fontId="0" fillId="0" borderId="21" xfId="42" applyNumberFormat="1" applyFont="1" applyBorder="1" applyAlignment="1">
      <alignment horizontal="center"/>
    </xf>
    <xf numFmtId="166" fontId="0" fillId="0" borderId="22" xfId="42" applyNumberFormat="1" applyFont="1" applyBorder="1" applyAlignment="1">
      <alignment horizontal="center"/>
    </xf>
    <xf numFmtId="44" fontId="0" fillId="0" borderId="23" xfId="44" applyFont="1" applyBorder="1" applyAlignment="1">
      <alignment/>
    </xf>
    <xf numFmtId="44" fontId="0" fillId="0" borderId="0" xfId="44" applyFont="1" applyBorder="1" applyAlignment="1">
      <alignment/>
    </xf>
    <xf numFmtId="166" fontId="15" fillId="0" borderId="0" xfId="42" applyNumberFormat="1" applyFont="1" applyAlignment="1">
      <alignment/>
    </xf>
    <xf numFmtId="166" fontId="0" fillId="0" borderId="24" xfId="42" applyNumberFormat="1" applyFont="1" applyBorder="1" applyAlignment="1">
      <alignment/>
    </xf>
    <xf numFmtId="166" fontId="0" fillId="0" borderId="0" xfId="42" applyNumberFormat="1" applyFont="1" applyBorder="1" applyAlignment="1">
      <alignment/>
    </xf>
    <xf numFmtId="166" fontId="0" fillId="21" borderId="0" xfId="42" applyNumberFormat="1" applyFont="1" applyFill="1" applyAlignment="1">
      <alignment/>
    </xf>
    <xf numFmtId="44" fontId="0" fillId="21" borderId="23" xfId="44" applyFont="1" applyFill="1" applyBorder="1" applyAlignment="1">
      <alignment/>
    </xf>
    <xf numFmtId="166" fontId="0" fillId="21" borderId="23" xfId="42" applyNumberFormat="1" applyFont="1" applyFill="1" applyBorder="1" applyAlignment="1">
      <alignment/>
    </xf>
    <xf numFmtId="44" fontId="0" fillId="21" borderId="22" xfId="44" applyFont="1" applyFill="1" applyBorder="1" applyAlignment="1">
      <alignment/>
    </xf>
    <xf numFmtId="166" fontId="0" fillId="21" borderId="22" xfId="42" applyNumberFormat="1" applyFont="1" applyFill="1" applyBorder="1" applyAlignment="1">
      <alignment/>
    </xf>
    <xf numFmtId="166" fontId="0" fillId="21" borderId="0" xfId="42" applyNumberFormat="1" applyFont="1" applyFill="1" applyAlignment="1" quotePrefix="1">
      <alignment horizontal="center"/>
    </xf>
    <xf numFmtId="166" fontId="0" fillId="21" borderId="0" xfId="42" applyNumberFormat="1" applyFont="1" applyFill="1" applyAlignment="1">
      <alignment horizontal="center"/>
    </xf>
    <xf numFmtId="166" fontId="0" fillId="21" borderId="0" xfId="42" applyNumberFormat="1" applyFont="1" applyFill="1" applyBorder="1" applyAlignment="1">
      <alignment horizontal="center"/>
    </xf>
    <xf numFmtId="166" fontId="0" fillId="21" borderId="10" xfId="42" applyNumberFormat="1" applyFont="1" applyFill="1" applyBorder="1" applyAlignment="1">
      <alignment horizontal="center"/>
    </xf>
    <xf numFmtId="166" fontId="0" fillId="25" borderId="0" xfId="42" applyNumberFormat="1" applyFont="1" applyFill="1" applyAlignment="1">
      <alignment/>
    </xf>
    <xf numFmtId="166" fontId="0" fillId="25" borderId="0" xfId="42" applyNumberFormat="1" applyFont="1" applyFill="1" applyAlignment="1">
      <alignment/>
    </xf>
    <xf numFmtId="166" fontId="0" fillId="0" borderId="0" xfId="42" applyNumberFormat="1" applyFont="1" applyFill="1" applyAlignment="1">
      <alignment horizontal="center"/>
    </xf>
    <xf numFmtId="166" fontId="0" fillId="0" borderId="0" xfId="42" applyNumberFormat="1" applyFont="1" applyFill="1" applyAlignment="1" quotePrefix="1">
      <alignment horizontal="center"/>
    </xf>
    <xf numFmtId="166" fontId="0" fillId="0" borderId="10" xfId="42" applyNumberFormat="1" applyFont="1" applyFill="1" applyBorder="1" applyAlignment="1">
      <alignment horizontal="center"/>
    </xf>
    <xf numFmtId="166" fontId="0" fillId="25" borderId="0" xfId="42" applyNumberFormat="1" applyFont="1" applyFill="1" applyAlignment="1" quotePrefix="1">
      <alignment horizontal="center"/>
    </xf>
    <xf numFmtId="166" fontId="0" fillId="25" borderId="0" xfId="42" applyNumberFormat="1" applyFont="1" applyFill="1" applyAlignment="1">
      <alignment horizontal="center"/>
    </xf>
    <xf numFmtId="177" fontId="0" fillId="0" borderId="0" xfId="44" applyNumberFormat="1" applyFont="1" applyAlignment="1">
      <alignment/>
    </xf>
    <xf numFmtId="177" fontId="0" fillId="0" borderId="0" xfId="42" applyNumberFormat="1" applyFont="1" applyAlignment="1">
      <alignment/>
    </xf>
    <xf numFmtId="177" fontId="0" fillId="21" borderId="0" xfId="44" applyNumberFormat="1" applyFont="1" applyFill="1" applyAlignment="1">
      <alignment/>
    </xf>
    <xf numFmtId="177" fontId="0" fillId="0" borderId="0" xfId="44" applyNumberFormat="1" applyFont="1" applyFill="1" applyAlignment="1">
      <alignment/>
    </xf>
    <xf numFmtId="177" fontId="0" fillId="21" borderId="24" xfId="44" applyNumberFormat="1" applyFont="1" applyFill="1" applyBorder="1" applyAlignment="1">
      <alignment/>
    </xf>
    <xf numFmtId="177" fontId="0" fillId="0" borderId="0" xfId="44" applyNumberFormat="1" applyFont="1" applyFill="1" applyBorder="1" applyAlignment="1">
      <alignment/>
    </xf>
    <xf numFmtId="177" fontId="2" fillId="0" borderId="0" xfId="44" applyNumberFormat="1" applyFont="1" applyAlignment="1">
      <alignment/>
    </xf>
    <xf numFmtId="177" fontId="0" fillId="21" borderId="25" xfId="44" applyNumberFormat="1" applyFont="1" applyFill="1" applyBorder="1" applyAlignment="1">
      <alignment/>
    </xf>
    <xf numFmtId="166" fontId="0" fillId="25" borderId="10" xfId="42" applyNumberFormat="1" applyFont="1" applyFill="1" applyBorder="1" applyAlignment="1">
      <alignment horizontal="center"/>
    </xf>
    <xf numFmtId="177" fontId="0" fillId="25" borderId="0" xfId="44" applyNumberFormat="1" applyFont="1" applyFill="1" applyAlignment="1">
      <alignment/>
    </xf>
    <xf numFmtId="166" fontId="0" fillId="0" borderId="0" xfId="42" applyNumberFormat="1" applyFont="1" applyFill="1" applyAlignment="1">
      <alignment/>
    </xf>
    <xf numFmtId="166" fontId="0" fillId="0" borderId="0" xfId="42" applyNumberFormat="1" applyFont="1" applyFill="1" applyAlignment="1">
      <alignment/>
    </xf>
    <xf numFmtId="166" fontId="0" fillId="0" borderId="0" xfId="42" applyNumberFormat="1" applyFont="1" applyFill="1" applyAlignment="1" quotePrefix="1">
      <alignment horizontal="center"/>
    </xf>
    <xf numFmtId="177" fontId="3" fillId="0" borderId="0" xfId="44" applyNumberFormat="1" applyFont="1" applyAlignment="1">
      <alignment/>
    </xf>
    <xf numFmtId="166" fontId="3" fillId="25" borderId="0" xfId="42" applyNumberFormat="1" applyFont="1" applyFill="1" applyAlignment="1">
      <alignment horizontal="center"/>
    </xf>
    <xf numFmtId="166" fontId="3" fillId="25" borderId="10" xfId="42" applyNumberFormat="1" applyFont="1" applyFill="1" applyBorder="1" applyAlignment="1">
      <alignment horizontal="center"/>
    </xf>
    <xf numFmtId="166" fontId="12" fillId="0" borderId="0" xfId="42" applyNumberFormat="1" applyFont="1" applyAlignment="1">
      <alignment horizontal="right"/>
    </xf>
    <xf numFmtId="166" fontId="15" fillId="0" borderId="0" xfId="42" applyNumberFormat="1" applyFont="1" applyAlignment="1">
      <alignment/>
    </xf>
    <xf numFmtId="166" fontId="12" fillId="0" borderId="0" xfId="42" applyNumberFormat="1" applyFont="1" applyAlignment="1">
      <alignment/>
    </xf>
    <xf numFmtId="0" fontId="15" fillId="0" borderId="0" xfId="0" applyFont="1" applyAlignment="1">
      <alignment horizontal="left" indent="1"/>
    </xf>
    <xf numFmtId="166" fontId="0" fillId="25" borderId="0" xfId="42" applyNumberFormat="1" applyFont="1" applyFill="1" applyAlignment="1">
      <alignment/>
    </xf>
    <xf numFmtId="166" fontId="0" fillId="25" borderId="0" xfId="42" applyNumberFormat="1" applyFont="1" applyFill="1" applyAlignment="1" quotePrefix="1">
      <alignment/>
    </xf>
    <xf numFmtId="166" fontId="0" fillId="25" borderId="0" xfId="42" applyNumberFormat="1" applyFont="1" applyFill="1" applyAlignment="1">
      <alignment horizontal="center" wrapText="1"/>
    </xf>
    <xf numFmtId="166" fontId="0" fillId="0" borderId="0" xfId="42" applyNumberFormat="1" applyFont="1" applyFill="1" applyAlignment="1">
      <alignment horizontal="center"/>
    </xf>
    <xf numFmtId="166" fontId="0" fillId="0" borderId="10" xfId="42" applyNumberFormat="1" applyFont="1" applyFill="1" applyBorder="1" applyAlignment="1">
      <alignment horizontal="center"/>
    </xf>
    <xf numFmtId="177" fontId="0" fillId="0" borderId="0" xfId="44" applyNumberFormat="1" applyFont="1" applyFill="1" applyAlignment="1">
      <alignment/>
    </xf>
    <xf numFmtId="177" fontId="0" fillId="0" borderId="0" xfId="44" applyNumberFormat="1" applyFont="1" applyFill="1" applyBorder="1" applyAlignment="1">
      <alignment/>
    </xf>
    <xf numFmtId="166" fontId="3" fillId="0" borderId="0" xfId="42" applyNumberFormat="1" applyFont="1" applyFill="1" applyAlignment="1">
      <alignment/>
    </xf>
    <xf numFmtId="166" fontId="0" fillId="0" borderId="0" xfId="42" applyNumberFormat="1" applyFont="1" applyFill="1" applyAlignment="1" quotePrefix="1">
      <alignment/>
    </xf>
    <xf numFmtId="166" fontId="0" fillId="0" borderId="0" xfId="42" applyNumberFormat="1" applyFont="1" applyFill="1" applyAlignment="1">
      <alignment horizontal="center" wrapText="1"/>
    </xf>
    <xf numFmtId="166" fontId="0" fillId="0" borderId="0" xfId="42" applyNumberFormat="1" applyFont="1" applyFill="1" applyAlignment="1">
      <alignment/>
    </xf>
    <xf numFmtId="9" fontId="0" fillId="0" borderId="0" xfId="59" applyFont="1" applyFill="1" applyAlignment="1">
      <alignment/>
    </xf>
    <xf numFmtId="177" fontId="0" fillId="0" borderId="0" xfId="42" applyNumberFormat="1" applyFont="1" applyFill="1" applyAlignment="1">
      <alignment/>
    </xf>
    <xf numFmtId="166" fontId="0" fillId="0" borderId="0" xfId="42" applyNumberFormat="1" applyFont="1" applyFill="1" applyAlignment="1">
      <alignment/>
    </xf>
    <xf numFmtId="166" fontId="0" fillId="0" borderId="26" xfId="42" applyNumberFormat="1" applyFont="1" applyFill="1" applyBorder="1" applyAlignment="1">
      <alignment/>
    </xf>
    <xf numFmtId="177" fontId="0" fillId="0" borderId="0" xfId="44" applyNumberFormat="1" applyFont="1" applyFill="1" applyAlignment="1">
      <alignment/>
    </xf>
    <xf numFmtId="44" fontId="0" fillId="0" borderId="23" xfId="44" applyFont="1" applyFill="1" applyBorder="1" applyAlignment="1">
      <alignment/>
    </xf>
    <xf numFmtId="166" fontId="0" fillId="0" borderId="23" xfId="42" applyNumberFormat="1" applyFont="1" applyFill="1" applyBorder="1" applyAlignment="1">
      <alignment/>
    </xf>
    <xf numFmtId="44" fontId="0" fillId="0" borderId="22" xfId="44" applyFont="1" applyFill="1" applyBorder="1" applyAlignment="1">
      <alignment/>
    </xf>
    <xf numFmtId="166" fontId="0" fillId="0" borderId="22" xfId="42" applyNumberFormat="1" applyFont="1" applyFill="1" applyBorder="1" applyAlignment="1">
      <alignment/>
    </xf>
    <xf numFmtId="9" fontId="0" fillId="0" borderId="0" xfId="42" applyNumberFormat="1" applyFont="1" applyFill="1" applyAlignment="1">
      <alignment/>
    </xf>
    <xf numFmtId="44" fontId="0" fillId="0" borderId="0" xfId="44" applyFont="1" applyFill="1" applyAlignment="1">
      <alignment/>
    </xf>
    <xf numFmtId="44" fontId="0" fillId="0" borderId="0" xfId="44" applyFont="1" applyFill="1" applyBorder="1" applyAlignment="1">
      <alignment/>
    </xf>
    <xf numFmtId="166" fontId="0" fillId="0" borderId="0" xfId="42" applyNumberFormat="1" applyFont="1" applyFill="1" applyBorder="1" applyAlignment="1">
      <alignment/>
    </xf>
    <xf numFmtId="166" fontId="0" fillId="0" borderId="0" xfId="42" applyNumberFormat="1" applyFont="1" applyFill="1" applyAlignment="1">
      <alignment horizontal="center"/>
    </xf>
    <xf numFmtId="166" fontId="0" fillId="0" borderId="0" xfId="42" applyNumberFormat="1" applyFont="1" applyFill="1" applyAlignment="1" quotePrefix="1">
      <alignment horizontal="center"/>
    </xf>
    <xf numFmtId="166" fontId="3" fillId="0" borderId="0" xfId="42" applyNumberFormat="1" applyFont="1" applyFill="1" applyAlignment="1">
      <alignment horizontal="center"/>
    </xf>
    <xf numFmtId="166" fontId="0" fillId="0" borderId="0" xfId="42" applyNumberFormat="1" applyFont="1" applyFill="1" applyBorder="1" applyAlignment="1">
      <alignment horizontal="center"/>
    </xf>
    <xf numFmtId="166" fontId="0" fillId="0" borderId="10" xfId="42" applyNumberFormat="1" applyFont="1" applyFill="1" applyBorder="1" applyAlignment="1">
      <alignment horizontal="center"/>
    </xf>
    <xf numFmtId="166" fontId="0" fillId="0" borderId="10" xfId="42" applyNumberFormat="1" applyFont="1" applyFill="1" applyBorder="1" applyAlignment="1">
      <alignment/>
    </xf>
    <xf numFmtId="166" fontId="3" fillId="0" borderId="10" xfId="42" applyNumberFormat="1" applyFont="1" applyFill="1" applyBorder="1" applyAlignment="1">
      <alignment horizontal="center"/>
    </xf>
    <xf numFmtId="177" fontId="0" fillId="0" borderId="24" xfId="44" applyNumberFormat="1" applyFont="1" applyFill="1" applyBorder="1" applyAlignment="1">
      <alignment/>
    </xf>
    <xf numFmtId="177" fontId="2" fillId="0" borderId="0" xfId="44" applyNumberFormat="1" applyFont="1" applyFill="1" applyAlignment="1">
      <alignment/>
    </xf>
    <xf numFmtId="177" fontId="3" fillId="0" borderId="0" xfId="44" applyNumberFormat="1" applyFont="1" applyFill="1" applyAlignment="1">
      <alignment/>
    </xf>
    <xf numFmtId="177" fontId="0" fillId="0" borderId="25" xfId="44" applyNumberFormat="1" applyFont="1" applyFill="1" applyBorder="1" applyAlignment="1">
      <alignment/>
    </xf>
    <xf numFmtId="166" fontId="12" fillId="0" borderId="0" xfId="42" applyNumberFormat="1" applyFont="1" applyFill="1" applyAlignment="1">
      <alignment/>
    </xf>
    <xf numFmtId="166" fontId="15" fillId="0" borderId="0" xfId="42" applyNumberFormat="1" applyFont="1" applyFill="1" applyAlignment="1">
      <alignment/>
    </xf>
    <xf numFmtId="0" fontId="15" fillId="0" borderId="0" xfId="0" applyFont="1" applyFill="1" applyAlignment="1">
      <alignment horizontal="left" indent="1"/>
    </xf>
    <xf numFmtId="166" fontId="15" fillId="0" borderId="0" xfId="42" applyNumberFormat="1" applyFont="1" applyFill="1" applyAlignment="1">
      <alignment/>
    </xf>
    <xf numFmtId="166" fontId="12" fillId="0" borderId="0" xfId="42" applyNumberFormat="1" applyFont="1" applyFill="1" applyAlignment="1">
      <alignment horizontal="right"/>
    </xf>
    <xf numFmtId="166" fontId="12" fillId="0" borderId="0" xfId="42" applyNumberFormat="1" applyFont="1" applyFill="1" applyAlignment="1">
      <alignment/>
    </xf>
    <xf numFmtId="177" fontId="0" fillId="0" borderId="0" xfId="44" applyNumberFormat="1" applyFont="1" applyAlignment="1">
      <alignment/>
    </xf>
    <xf numFmtId="9" fontId="0" fillId="0" borderId="0" xfId="59" applyFont="1" applyAlignment="1">
      <alignment/>
    </xf>
    <xf numFmtId="177" fontId="0" fillId="0" borderId="0" xfId="42" applyNumberFormat="1" applyFont="1" applyAlignment="1">
      <alignment/>
    </xf>
    <xf numFmtId="166" fontId="0" fillId="21" borderId="0" xfId="42" applyNumberFormat="1" applyFont="1" applyFill="1" applyAlignment="1">
      <alignment/>
    </xf>
    <xf numFmtId="177" fontId="0" fillId="21" borderId="0" xfId="44" applyNumberFormat="1" applyFont="1" applyFill="1" applyAlignment="1">
      <alignment/>
    </xf>
    <xf numFmtId="166" fontId="0" fillId="0" borderId="24" xfId="42" applyNumberFormat="1" applyFont="1" applyBorder="1" applyAlignment="1">
      <alignment/>
    </xf>
    <xf numFmtId="166" fontId="0" fillId="21" borderId="23" xfId="42" applyNumberFormat="1" applyFont="1" applyFill="1" applyBorder="1" applyAlignment="1">
      <alignment/>
    </xf>
    <xf numFmtId="166" fontId="0" fillId="21" borderId="22" xfId="42" applyNumberFormat="1" applyFont="1" applyFill="1" applyBorder="1" applyAlignment="1">
      <alignment/>
    </xf>
    <xf numFmtId="9" fontId="0" fillId="0" borderId="0" xfId="42" applyNumberFormat="1" applyFont="1" applyAlignment="1">
      <alignment/>
    </xf>
    <xf numFmtId="44" fontId="0" fillId="0" borderId="0" xfId="44" applyFont="1" applyAlignment="1">
      <alignment/>
    </xf>
    <xf numFmtId="166" fontId="0" fillId="0" borderId="0" xfId="42" applyNumberFormat="1" applyFont="1" applyBorder="1" applyAlignment="1">
      <alignment/>
    </xf>
    <xf numFmtId="166" fontId="0" fillId="25" borderId="0" xfId="42" applyNumberFormat="1" applyFont="1" applyFill="1" applyAlignment="1">
      <alignment horizontal="center"/>
    </xf>
    <xf numFmtId="166" fontId="0" fillId="21" borderId="0" xfId="42" applyNumberFormat="1" applyFont="1" applyFill="1" applyAlignment="1">
      <alignment horizontal="center"/>
    </xf>
    <xf numFmtId="166" fontId="0" fillId="25" borderId="0" xfId="42" applyNumberFormat="1" applyFont="1" applyFill="1" applyAlignment="1" quotePrefix="1">
      <alignment horizontal="center"/>
    </xf>
    <xf numFmtId="166" fontId="0" fillId="21" borderId="0" xfId="42" applyNumberFormat="1" applyFont="1" applyFill="1" applyAlignment="1" quotePrefix="1">
      <alignment horizontal="center"/>
    </xf>
    <xf numFmtId="166" fontId="0" fillId="21" borderId="0" xfId="42" applyNumberFormat="1" applyFont="1" applyFill="1" applyBorder="1" applyAlignment="1">
      <alignment horizontal="center"/>
    </xf>
    <xf numFmtId="166" fontId="0" fillId="0" borderId="10" xfId="42" applyNumberFormat="1" applyFont="1" applyBorder="1" applyAlignment="1">
      <alignment horizontal="center"/>
    </xf>
    <xf numFmtId="166" fontId="0" fillId="25" borderId="10" xfId="42" applyNumberFormat="1" applyFont="1" applyFill="1" applyBorder="1" applyAlignment="1">
      <alignment horizontal="center"/>
    </xf>
    <xf numFmtId="166" fontId="0" fillId="21" borderId="10" xfId="42" applyNumberFormat="1" applyFont="1" applyFill="1" applyBorder="1" applyAlignment="1">
      <alignment horizontal="center"/>
    </xf>
    <xf numFmtId="177" fontId="0" fillId="25" borderId="0" xfId="44" applyNumberFormat="1" applyFont="1" applyFill="1" applyAlignment="1">
      <alignment/>
    </xf>
    <xf numFmtId="177" fontId="0" fillId="21" borderId="24" xfId="44" applyNumberFormat="1" applyFont="1" applyFill="1" applyBorder="1" applyAlignment="1">
      <alignment/>
    </xf>
    <xf numFmtId="177" fontId="0" fillId="21" borderId="25" xfId="44" applyNumberFormat="1" applyFont="1" applyFill="1" applyBorder="1" applyAlignment="1">
      <alignment/>
    </xf>
    <xf numFmtId="0" fontId="15" fillId="0" borderId="0" xfId="0" applyFont="1" applyAlignment="1">
      <alignment horizontal="left" indent="1"/>
    </xf>
    <xf numFmtId="166" fontId="15" fillId="0" borderId="0" xfId="42" applyNumberFormat="1" applyFont="1" applyAlignment="1">
      <alignment/>
    </xf>
    <xf numFmtId="177" fontId="0" fillId="0" borderId="0" xfId="44" applyNumberFormat="1" applyFont="1" applyFill="1" applyAlignment="1" applyProtection="1">
      <alignment/>
      <protection/>
    </xf>
    <xf numFmtId="177" fontId="0" fillId="25" borderId="0" xfId="44" applyNumberFormat="1" applyFont="1" applyFill="1" applyAlignment="1" applyProtection="1">
      <alignment/>
      <protection locked="0"/>
    </xf>
    <xf numFmtId="9" fontId="0" fillId="25" borderId="0" xfId="59" applyFont="1" applyFill="1" applyAlignment="1" applyProtection="1">
      <alignment/>
      <protection locked="0"/>
    </xf>
    <xf numFmtId="166" fontId="0" fillId="25" borderId="0" xfId="42" applyNumberFormat="1" applyFont="1" applyFill="1" applyAlignment="1" applyProtection="1">
      <alignment/>
      <protection locked="0"/>
    </xf>
    <xf numFmtId="166" fontId="0" fillId="0" borderId="27" xfId="42" applyNumberFormat="1" applyFont="1" applyFill="1" applyBorder="1" applyAlignment="1">
      <alignment/>
    </xf>
    <xf numFmtId="166" fontId="0" fillId="0" borderId="28" xfId="42" applyNumberFormat="1" applyFont="1" applyFill="1" applyBorder="1" applyAlignment="1">
      <alignment/>
    </xf>
    <xf numFmtId="44" fontId="0" fillId="0" borderId="27" xfId="44" applyFont="1" applyFill="1" applyBorder="1" applyAlignment="1">
      <alignment/>
    </xf>
    <xf numFmtId="166" fontId="0" fillId="0" borderId="29" xfId="42" applyNumberFormat="1" applyFont="1" applyFill="1" applyBorder="1" applyAlignment="1">
      <alignment horizontal="center"/>
    </xf>
    <xf numFmtId="166" fontId="0" fillId="0" borderId="23" xfId="42" applyNumberFormat="1" applyFont="1" applyFill="1" applyBorder="1" applyAlignment="1">
      <alignment horizontal="center"/>
    </xf>
    <xf numFmtId="166" fontId="0" fillId="0" borderId="30" xfId="42" applyNumberFormat="1" applyFont="1" applyFill="1" applyBorder="1" applyAlignment="1">
      <alignment horizontal="center"/>
    </xf>
    <xf numFmtId="44" fontId="0" fillId="0" borderId="29" xfId="44" applyFont="1" applyFill="1" applyBorder="1" applyAlignment="1">
      <alignment/>
    </xf>
    <xf numFmtId="166" fontId="0" fillId="0" borderId="29" xfId="42" applyNumberFormat="1" applyFont="1" applyFill="1" applyBorder="1" applyAlignment="1">
      <alignment/>
    </xf>
    <xf numFmtId="166" fontId="0" fillId="0" borderId="30" xfId="42" applyNumberFormat="1" applyFont="1" applyFill="1" applyBorder="1" applyAlignment="1">
      <alignment/>
    </xf>
    <xf numFmtId="10" fontId="0" fillId="25" borderId="0" xfId="59" applyNumberFormat="1" applyFont="1" applyFill="1" applyAlignment="1" applyProtection="1">
      <alignment/>
      <protection locked="0"/>
    </xf>
    <xf numFmtId="0" fontId="9" fillId="0" borderId="31" xfId="0" applyFont="1" applyFill="1" applyBorder="1" applyAlignment="1" applyProtection="1">
      <alignment horizontal="left" vertical="center"/>
      <protection/>
    </xf>
    <xf numFmtId="0" fontId="9" fillId="0" borderId="32" xfId="0" applyFont="1" applyFill="1" applyBorder="1" applyAlignment="1" applyProtection="1">
      <alignment horizontal="left" vertical="center"/>
      <protection/>
    </xf>
    <xf numFmtId="0" fontId="9" fillId="0" borderId="33" xfId="0" applyFont="1" applyFill="1" applyBorder="1" applyAlignment="1" applyProtection="1">
      <alignment horizontal="left" vertical="center"/>
      <protection/>
    </xf>
    <xf numFmtId="39" fontId="7" fillId="8" borderId="31" xfId="0" applyNumberFormat="1" applyFont="1" applyFill="1" applyBorder="1" applyAlignment="1" applyProtection="1">
      <alignment horizontal="left" vertical="center"/>
      <protection/>
    </xf>
    <xf numFmtId="39" fontId="7" fillId="8" borderId="32" xfId="0" applyNumberFormat="1" applyFont="1" applyFill="1" applyBorder="1" applyAlignment="1" applyProtection="1">
      <alignment horizontal="left" vertical="center"/>
      <protection/>
    </xf>
    <xf numFmtId="39" fontId="7" fillId="8" borderId="33" xfId="0" applyNumberFormat="1" applyFont="1" applyFill="1" applyBorder="1" applyAlignment="1" applyProtection="1">
      <alignment horizontal="left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N63"/>
  <sheetViews>
    <sheetView tabSelected="1" workbookViewId="0" topLeftCell="A1">
      <selection activeCell="H11" sqref="H11"/>
    </sheetView>
  </sheetViews>
  <sheetFormatPr defaultColWidth="9.140625" defaultRowHeight="12.75"/>
  <cols>
    <col min="1" max="1" width="6.140625" style="88" customWidth="1"/>
    <col min="2" max="2" width="11.8515625" style="88" customWidth="1"/>
    <col min="3" max="3" width="10.28125" style="88" bestFit="1" customWidth="1"/>
    <col min="4" max="4" width="10.28125" style="88" hidden="1" customWidth="1"/>
    <col min="5" max="6" width="12.28125" style="88" hidden="1" customWidth="1"/>
    <col min="7" max="7" width="11.28125" style="88" bestFit="1" customWidth="1"/>
    <col min="8" max="8" width="13.140625" style="88" customWidth="1"/>
    <col min="9" max="10" width="13.140625" style="88" bestFit="1" customWidth="1"/>
    <col min="11" max="11" width="12.28125" style="88" bestFit="1" customWidth="1"/>
    <col min="12" max="12" width="10.28125" style="88" bestFit="1" customWidth="1"/>
    <col min="13" max="13" width="8.8515625" style="88" customWidth="1"/>
    <col min="14" max="16384" width="9.140625" style="88" customWidth="1"/>
  </cols>
  <sheetData>
    <row r="1" spans="1:9" ht="12.75">
      <c r="A1" s="105" t="s">
        <v>128</v>
      </c>
      <c r="I1" s="106"/>
    </row>
    <row r="2" spans="1:3" ht="38.25">
      <c r="A2" s="105"/>
      <c r="C2" s="107" t="s">
        <v>120</v>
      </c>
    </row>
    <row r="3" spans="1:7" ht="12.75">
      <c r="A3" s="108" t="s">
        <v>100</v>
      </c>
      <c r="G3" s="164">
        <v>290000</v>
      </c>
    </row>
    <row r="4" spans="1:7" ht="12.75">
      <c r="A4" s="165">
        <v>0.02</v>
      </c>
      <c r="B4" s="88" t="s">
        <v>126</v>
      </c>
      <c r="G4" s="163">
        <f>+G3*A4</f>
        <v>5800</v>
      </c>
    </row>
    <row r="5" spans="1:13" ht="12.75">
      <c r="A5" s="88" t="s">
        <v>20</v>
      </c>
      <c r="C5" s="109">
        <v>0.05</v>
      </c>
      <c r="G5" s="103">
        <f>MAX((G3*0.2))</f>
        <v>58000</v>
      </c>
      <c r="H5" s="108" t="s">
        <v>105</v>
      </c>
      <c r="I5" s="108"/>
      <c r="J5" s="108"/>
      <c r="K5" s="108"/>
      <c r="L5" s="108"/>
      <c r="M5" s="108"/>
    </row>
    <row r="6" spans="1:8" ht="12.75">
      <c r="A6" s="88" t="s">
        <v>10</v>
      </c>
      <c r="C6" s="176">
        <v>0.055</v>
      </c>
      <c r="G6" s="103">
        <f>+G3-G4-G5</f>
        <v>226200</v>
      </c>
      <c r="H6" s="88" t="s">
        <v>45</v>
      </c>
    </row>
    <row r="7" spans="1:10" ht="12.75">
      <c r="A7" s="88" t="s">
        <v>51</v>
      </c>
      <c r="B7" s="166">
        <v>30</v>
      </c>
      <c r="C7" s="109" t="s">
        <v>52</v>
      </c>
      <c r="G7" s="110"/>
      <c r="J7" s="121"/>
    </row>
    <row r="8" spans="1:10" ht="12.75">
      <c r="A8" s="88" t="s">
        <v>6</v>
      </c>
      <c r="G8" s="103">
        <f>+G3*0.0125</f>
        <v>3625</v>
      </c>
      <c r="H8" s="111" t="s">
        <v>119</v>
      </c>
      <c r="J8" s="127"/>
    </row>
    <row r="9" spans="1:12" ht="12.75">
      <c r="A9" s="88" t="s">
        <v>7</v>
      </c>
      <c r="G9" s="103">
        <f>IF(G6,-PMT(C6/12,B7*12,G6),"")</f>
        <v>1284.3387210469193</v>
      </c>
      <c r="J9" s="171" t="s">
        <v>44</v>
      </c>
      <c r="K9" s="121"/>
      <c r="L9" s="121"/>
    </row>
    <row r="10" spans="1:12" ht="12.75">
      <c r="A10" s="88" t="s">
        <v>8</v>
      </c>
      <c r="G10" s="103">
        <f>G8/12</f>
        <v>302.0833333333333</v>
      </c>
      <c r="J10" s="170" t="s">
        <v>33</v>
      </c>
      <c r="K10" s="168" t="s">
        <v>130</v>
      </c>
      <c r="L10" s="112"/>
    </row>
    <row r="11" spans="1:12" ht="12.75">
      <c r="A11" s="88" t="s">
        <v>129</v>
      </c>
      <c r="G11" s="103">
        <v>265</v>
      </c>
      <c r="J11" s="169">
        <f>+G9+G10+G11+E13</f>
        <v>1893.0920543802526</v>
      </c>
      <c r="K11" s="112" t="s">
        <v>101</v>
      </c>
      <c r="L11" s="121"/>
    </row>
    <row r="12" spans="1:5" ht="12.75" hidden="1">
      <c r="A12" s="108" t="s">
        <v>96</v>
      </c>
      <c r="B12" s="108"/>
      <c r="C12" s="108"/>
      <c r="D12" s="108"/>
      <c r="E12" s="113">
        <v>318</v>
      </c>
    </row>
    <row r="13" spans="1:9" ht="12.75" hidden="1">
      <c r="A13" s="108" t="s">
        <v>16</v>
      </c>
      <c r="B13" s="108"/>
      <c r="C13" s="108"/>
      <c r="D13" s="108"/>
      <c r="E13" s="113">
        <v>41.67</v>
      </c>
      <c r="H13" s="114">
        <f>+G9+G10+E12+E13</f>
        <v>1946.0920543802526</v>
      </c>
      <c r="I13" s="115" t="s">
        <v>97</v>
      </c>
    </row>
    <row r="14" spans="1:11" ht="12.75" hidden="1">
      <c r="A14" s="108" t="s">
        <v>17</v>
      </c>
      <c r="B14" s="108"/>
      <c r="C14" s="108"/>
      <c r="D14" s="108"/>
      <c r="E14" s="113">
        <v>166.67</v>
      </c>
      <c r="H14" s="114">
        <f>+G9+G10+E12+E14</f>
        <v>2071.0920543802526</v>
      </c>
      <c r="I14" s="115" t="s">
        <v>98</v>
      </c>
      <c r="K14" s="101"/>
    </row>
    <row r="15" spans="1:12" ht="12.75" hidden="1">
      <c r="A15" s="108" t="s">
        <v>18</v>
      </c>
      <c r="B15" s="108"/>
      <c r="C15" s="108"/>
      <c r="D15" s="108"/>
      <c r="E15" s="113">
        <v>333.33</v>
      </c>
      <c r="H15" s="116">
        <f>+G9+G10+E12+E15</f>
        <v>2237.7520543802525</v>
      </c>
      <c r="I15" s="117" t="s">
        <v>99</v>
      </c>
      <c r="K15" s="101"/>
      <c r="L15" s="118"/>
    </row>
    <row r="16" spans="5:12" ht="12.75">
      <c r="E16" s="119"/>
      <c r="H16" s="120"/>
      <c r="I16" s="121"/>
      <c r="L16" s="118"/>
    </row>
    <row r="17" spans="5:12" ht="12.75">
      <c r="E17" s="119"/>
      <c r="H17" s="120"/>
      <c r="K17" s="122" t="s">
        <v>123</v>
      </c>
      <c r="L17" s="118"/>
    </row>
    <row r="18" spans="10:12" ht="12.75">
      <c r="J18" s="90" t="s">
        <v>39</v>
      </c>
      <c r="K18" s="122" t="s">
        <v>103</v>
      </c>
      <c r="L18" s="88" t="s">
        <v>94</v>
      </c>
    </row>
    <row r="19" spans="2:12" ht="12.75">
      <c r="B19" s="90" t="s">
        <v>35</v>
      </c>
      <c r="C19" s="108"/>
      <c r="D19" s="108"/>
      <c r="E19" s="108"/>
      <c r="F19" s="122" t="s">
        <v>42</v>
      </c>
      <c r="G19" s="123" t="s">
        <v>37</v>
      </c>
      <c r="H19" s="90" t="s">
        <v>38</v>
      </c>
      <c r="I19" s="90" t="s">
        <v>122</v>
      </c>
      <c r="J19" s="101" t="s">
        <v>41</v>
      </c>
      <c r="K19" s="122" t="s">
        <v>124</v>
      </c>
      <c r="L19" s="118">
        <v>0.25</v>
      </c>
    </row>
    <row r="20" spans="2:12" ht="12.75">
      <c r="B20" s="101" t="s">
        <v>11</v>
      </c>
      <c r="C20" s="123" t="s">
        <v>36</v>
      </c>
      <c r="D20" s="123" t="s">
        <v>37</v>
      </c>
      <c r="E20" s="123" t="s">
        <v>38</v>
      </c>
      <c r="F20" s="123" t="s">
        <v>43</v>
      </c>
      <c r="G20" s="122" t="s">
        <v>12</v>
      </c>
      <c r="H20" s="101" t="s">
        <v>26</v>
      </c>
      <c r="I20" s="101" t="s">
        <v>34</v>
      </c>
      <c r="J20" s="101" t="s">
        <v>24</v>
      </c>
      <c r="K20" s="124" t="s">
        <v>29</v>
      </c>
      <c r="L20" s="88" t="s">
        <v>93</v>
      </c>
    </row>
    <row r="21" spans="2:12" ht="12.75">
      <c r="B21" s="101" t="s">
        <v>12</v>
      </c>
      <c r="C21" s="122" t="s">
        <v>9</v>
      </c>
      <c r="D21" s="122" t="s">
        <v>9</v>
      </c>
      <c r="E21" s="122" t="s">
        <v>9</v>
      </c>
      <c r="F21" s="122" t="s">
        <v>19</v>
      </c>
      <c r="G21" s="101" t="s">
        <v>19</v>
      </c>
      <c r="H21" s="88" t="s">
        <v>27</v>
      </c>
      <c r="I21" s="101" t="s">
        <v>21</v>
      </c>
      <c r="J21" s="101" t="s">
        <v>21</v>
      </c>
      <c r="K21" s="124" t="s">
        <v>110</v>
      </c>
      <c r="L21" s="101" t="s">
        <v>48</v>
      </c>
    </row>
    <row r="22" spans="2:12" ht="12.75">
      <c r="B22" s="101" t="s">
        <v>0</v>
      </c>
      <c r="C22" s="122" t="s">
        <v>3</v>
      </c>
      <c r="D22" s="125" t="s">
        <v>5</v>
      </c>
      <c r="E22" s="122" t="s">
        <v>14</v>
      </c>
      <c r="F22" s="122" t="s">
        <v>9</v>
      </c>
      <c r="G22" s="101" t="s">
        <v>9</v>
      </c>
      <c r="H22" s="88" t="s">
        <v>28</v>
      </c>
      <c r="I22" s="101" t="s">
        <v>22</v>
      </c>
      <c r="J22" s="101" t="s">
        <v>22</v>
      </c>
      <c r="K22" s="124" t="s">
        <v>111</v>
      </c>
      <c r="L22" s="101" t="s">
        <v>49</v>
      </c>
    </row>
    <row r="23" spans="1:12" ht="12.75">
      <c r="A23" s="102" t="s">
        <v>13</v>
      </c>
      <c r="B23" s="102" t="s">
        <v>1</v>
      </c>
      <c r="C23" s="126" t="s">
        <v>4</v>
      </c>
      <c r="D23" s="126" t="s">
        <v>32</v>
      </c>
      <c r="E23" s="126" t="s">
        <v>15</v>
      </c>
      <c r="F23" s="126" t="s">
        <v>33</v>
      </c>
      <c r="G23" s="102" t="s">
        <v>47</v>
      </c>
      <c r="H23" s="127" t="s">
        <v>30</v>
      </c>
      <c r="I23" s="102" t="s">
        <v>23</v>
      </c>
      <c r="J23" s="102" t="s">
        <v>25</v>
      </c>
      <c r="K23" s="128" t="s">
        <v>112</v>
      </c>
      <c r="L23" s="102" t="s">
        <v>50</v>
      </c>
    </row>
    <row r="24" spans="1:12" ht="12.75">
      <c r="A24" s="88">
        <v>1</v>
      </c>
      <c r="B24" s="103">
        <f>+G9*12</f>
        <v>15412.064652563033</v>
      </c>
      <c r="C24" s="113">
        <f>(+G10*12)</f>
        <v>3625</v>
      </c>
      <c r="D24" s="113">
        <f>+G11*12</f>
        <v>3180</v>
      </c>
      <c r="E24" s="113">
        <f>+E13*12</f>
        <v>500.04</v>
      </c>
      <c r="F24" s="129">
        <f aca="true" t="shared" si="0" ref="F24:F53">SUM(B24:E24)</f>
        <v>22717.104652563034</v>
      </c>
      <c r="G24" s="104">
        <f>'DataCalculations-Cal Poly'!I23</f>
        <v>12364.960000000001</v>
      </c>
      <c r="H24" s="130">
        <f>'DataCalculations-Cal Poly'!J23</f>
        <v>223152.87999999998</v>
      </c>
      <c r="I24" s="103">
        <f>+G5*1.05</f>
        <v>60900</v>
      </c>
      <c r="J24" s="103">
        <f>+G3*1.02</f>
        <v>295800</v>
      </c>
      <c r="K24" s="131">
        <f aca="true" t="shared" si="1" ref="K24:K53">+J24-H24-I24</f>
        <v>11747.120000000024</v>
      </c>
      <c r="L24" s="103">
        <f aca="true" t="shared" si="2" ref="L24:L53">(G24+C24)*0.25</f>
        <v>3997.4900000000002</v>
      </c>
    </row>
    <row r="25" spans="1:12" ht="12.75">
      <c r="A25" s="88">
        <f aca="true" t="shared" si="3" ref="A25:A53">+A24+1</f>
        <v>2</v>
      </c>
      <c r="B25" s="103">
        <f aca="true" t="shared" si="4" ref="B25:B53">+B24</f>
        <v>15412.064652563033</v>
      </c>
      <c r="C25" s="113">
        <f aca="true" t="shared" si="5" ref="C25:C53">C24*1.02</f>
        <v>3697.5</v>
      </c>
      <c r="D25" s="113">
        <f>+D24</f>
        <v>3180</v>
      </c>
      <c r="E25" s="113">
        <f>+E24</f>
        <v>500.04</v>
      </c>
      <c r="F25" s="132">
        <f t="shared" si="0"/>
        <v>22789.604652563034</v>
      </c>
      <c r="G25" s="104">
        <f>'DataCalculations-Cal Poly'!F27</f>
        <v>12193.304965523606</v>
      </c>
      <c r="H25" s="130">
        <f>'DataCalculations-Cal Poly'!I27</f>
        <v>219934.10496552358</v>
      </c>
      <c r="I25" s="103">
        <f aca="true" t="shared" si="6" ref="I25:I53">+I24*1.05</f>
        <v>63945</v>
      </c>
      <c r="J25" s="103">
        <f aca="true" t="shared" si="7" ref="J25:J53">+J24*1.02</f>
        <v>301716</v>
      </c>
      <c r="K25" s="131">
        <f t="shared" si="1"/>
        <v>17836.895034476416</v>
      </c>
      <c r="L25" s="103">
        <f t="shared" si="2"/>
        <v>3972.7012413809016</v>
      </c>
    </row>
    <row r="26" spans="1:12" ht="12.75">
      <c r="A26" s="88">
        <f t="shared" si="3"/>
        <v>3</v>
      </c>
      <c r="B26" s="103">
        <f t="shared" si="4"/>
        <v>15412.064652563033</v>
      </c>
      <c r="C26" s="113">
        <f t="shared" si="5"/>
        <v>3771.4500000000003</v>
      </c>
      <c r="D26" s="113">
        <f>+D25</f>
        <v>3180</v>
      </c>
      <c r="E26" s="113">
        <f>+E25</f>
        <v>500.04</v>
      </c>
      <c r="F26" s="132">
        <f t="shared" si="0"/>
        <v>22863.554652563034</v>
      </c>
      <c r="G26" s="104">
        <f>'DataCalculations-Cal Poly'!F28</f>
        <v>12011.502161627443</v>
      </c>
      <c r="H26" s="130">
        <f>'DataCalculations-Cal Poly'!I28</f>
        <v>216533.52712715103</v>
      </c>
      <c r="I26" s="103">
        <f t="shared" si="6"/>
        <v>67142.25</v>
      </c>
      <c r="J26" s="103">
        <f t="shared" si="7"/>
        <v>307750.32</v>
      </c>
      <c r="K26" s="131">
        <f t="shared" si="1"/>
        <v>24074.54287284898</v>
      </c>
      <c r="L26" s="103">
        <f t="shared" si="2"/>
        <v>3945.738040406861</v>
      </c>
    </row>
    <row r="27" spans="1:12" ht="12.75">
      <c r="A27" s="88">
        <f t="shared" si="3"/>
        <v>4</v>
      </c>
      <c r="B27" s="103">
        <f t="shared" si="4"/>
        <v>15412.064652563033</v>
      </c>
      <c r="C27" s="113">
        <f t="shared" si="5"/>
        <v>3846.8790000000004</v>
      </c>
      <c r="D27" s="113">
        <f>+E12*12</f>
        <v>3816</v>
      </c>
      <c r="E27" s="113">
        <f>+E26</f>
        <v>500.04</v>
      </c>
      <c r="F27" s="132">
        <f t="shared" si="0"/>
        <v>23574.983652563034</v>
      </c>
      <c r="G27" s="104">
        <f>'DataCalculations-Cal Poly'!F29</f>
        <v>11819.682841690355</v>
      </c>
      <c r="H27" s="130">
        <f>'DataCalculations-Cal Poly'!I29</f>
        <v>212941.1299688414</v>
      </c>
      <c r="I27" s="103">
        <f t="shared" si="6"/>
        <v>70499.3625</v>
      </c>
      <c r="J27" s="103">
        <f t="shared" si="7"/>
        <v>313905.3264</v>
      </c>
      <c r="K27" s="131">
        <f t="shared" si="1"/>
        <v>30464.83393115863</v>
      </c>
      <c r="L27" s="103">
        <f t="shared" si="2"/>
        <v>3916.640460422589</v>
      </c>
    </row>
    <row r="28" spans="1:12" ht="12.75">
      <c r="A28" s="88">
        <f t="shared" si="3"/>
        <v>5</v>
      </c>
      <c r="B28" s="103">
        <f t="shared" si="4"/>
        <v>15412.064652563033</v>
      </c>
      <c r="C28" s="113">
        <f t="shared" si="5"/>
        <v>3923.8165800000006</v>
      </c>
      <c r="D28" s="113">
        <f aca="true" t="shared" si="8" ref="D28:D53">+D27</f>
        <v>3816</v>
      </c>
      <c r="E28" s="113">
        <f>+E27</f>
        <v>500.04</v>
      </c>
      <c r="F28" s="132">
        <f t="shared" si="0"/>
        <v>23651.921232563036</v>
      </c>
      <c r="G28" s="104">
        <f>'DataCalculations-Cal Poly'!F30</f>
        <v>11617.04340433505</v>
      </c>
      <c r="H28" s="130">
        <f>'DataCalculations-Cal Poly'!I30</f>
        <v>209146.09337317644</v>
      </c>
      <c r="I28" s="103">
        <f t="shared" si="6"/>
        <v>74024.330625</v>
      </c>
      <c r="J28" s="103">
        <f t="shared" si="7"/>
        <v>320183.43292800005</v>
      </c>
      <c r="K28" s="131">
        <f t="shared" si="1"/>
        <v>37013.00892982361</v>
      </c>
      <c r="L28" s="103">
        <f t="shared" si="2"/>
        <v>3885.214996083763</v>
      </c>
    </row>
    <row r="29" spans="1:12" ht="12.75">
      <c r="A29" s="88">
        <f t="shared" si="3"/>
        <v>6</v>
      </c>
      <c r="B29" s="103">
        <f t="shared" si="4"/>
        <v>15412.064652563033</v>
      </c>
      <c r="C29" s="113">
        <f t="shared" si="5"/>
        <v>4002.2929116000005</v>
      </c>
      <c r="D29" s="113">
        <f t="shared" si="8"/>
        <v>3816</v>
      </c>
      <c r="E29" s="113">
        <f>+E14*12</f>
        <v>2000.04</v>
      </c>
      <c r="F29" s="132">
        <f t="shared" si="0"/>
        <v>25230.397564163035</v>
      </c>
      <c r="G29" s="104">
        <f>'DataCalculations-Cal Poly'!F31</f>
        <v>11402.973509888758</v>
      </c>
      <c r="H29" s="130">
        <f>'DataCalculations-Cal Poly'!I31</f>
        <v>205136.9868830652</v>
      </c>
      <c r="I29" s="103">
        <f t="shared" si="6"/>
        <v>77725.54715625</v>
      </c>
      <c r="J29" s="103">
        <f t="shared" si="7"/>
        <v>326587.1015865601</v>
      </c>
      <c r="K29" s="131">
        <f t="shared" si="1"/>
        <v>43724.56754724488</v>
      </c>
      <c r="L29" s="103">
        <f t="shared" si="2"/>
        <v>3851.3166053721898</v>
      </c>
    </row>
    <row r="30" spans="1:12" ht="12.75">
      <c r="A30" s="88">
        <f t="shared" si="3"/>
        <v>7</v>
      </c>
      <c r="B30" s="103">
        <f t="shared" si="4"/>
        <v>15412.064652563033</v>
      </c>
      <c r="C30" s="113">
        <f t="shared" si="5"/>
        <v>4082.3387698320007</v>
      </c>
      <c r="D30" s="113">
        <f t="shared" si="8"/>
        <v>3816</v>
      </c>
      <c r="E30" s="113">
        <f>+E29</f>
        <v>2000.04</v>
      </c>
      <c r="F30" s="132">
        <f t="shared" si="0"/>
        <v>25310.443422395034</v>
      </c>
      <c r="G30" s="104">
        <f>'DataCalculations-Cal Poly'!F32</f>
        <v>11176.828390723804</v>
      </c>
      <c r="H30" s="130">
        <f>'DataCalculations-Cal Poly'!I32</f>
        <v>200901.735273789</v>
      </c>
      <c r="I30" s="103">
        <f t="shared" si="6"/>
        <v>81611.82451406251</v>
      </c>
      <c r="J30" s="103">
        <f t="shared" si="7"/>
        <v>333118.8436182913</v>
      </c>
      <c r="K30" s="131">
        <f t="shared" si="1"/>
        <v>50605.2838304398</v>
      </c>
      <c r="L30" s="103">
        <f t="shared" si="2"/>
        <v>3814.791790138951</v>
      </c>
    </row>
    <row r="31" spans="1:12" ht="12.75">
      <c r="A31" s="88">
        <f t="shared" si="3"/>
        <v>8</v>
      </c>
      <c r="B31" s="103">
        <f t="shared" si="4"/>
        <v>15412.064652563033</v>
      </c>
      <c r="C31" s="113">
        <f t="shared" si="5"/>
        <v>4163.985545228641</v>
      </c>
      <c r="D31" s="113">
        <f t="shared" si="8"/>
        <v>3816</v>
      </c>
      <c r="E31" s="113">
        <f>+E30</f>
        <v>2000.04</v>
      </c>
      <c r="F31" s="132">
        <f t="shared" si="0"/>
        <v>25392.090197791673</v>
      </c>
      <c r="G31" s="104">
        <f>'DataCalculations-Cal Poly'!F33</f>
        <v>10937.926909250218</v>
      </c>
      <c r="H31" s="130">
        <f>'DataCalculations-Cal Poly'!I33</f>
        <v>196427.58218303922</v>
      </c>
      <c r="I31" s="103">
        <f t="shared" si="6"/>
        <v>85692.41573976564</v>
      </c>
      <c r="J31" s="103">
        <f t="shared" si="7"/>
        <v>339781.22049065714</v>
      </c>
      <c r="K31" s="131">
        <f t="shared" si="1"/>
        <v>57661.22256785228</v>
      </c>
      <c r="L31" s="103">
        <f t="shared" si="2"/>
        <v>3775.478113619715</v>
      </c>
    </row>
    <row r="32" spans="1:12" ht="12.75">
      <c r="A32" s="88">
        <f t="shared" si="3"/>
        <v>9</v>
      </c>
      <c r="B32" s="103">
        <f t="shared" si="4"/>
        <v>15412.064652563033</v>
      </c>
      <c r="C32" s="113">
        <f t="shared" si="5"/>
        <v>4247.265256133214</v>
      </c>
      <c r="D32" s="113">
        <f t="shared" si="8"/>
        <v>3816</v>
      </c>
      <c r="E32" s="113">
        <f>+E15*12</f>
        <v>3999.96</v>
      </c>
      <c r="F32" s="132">
        <f t="shared" si="0"/>
        <v>27475.289908696246</v>
      </c>
      <c r="G32" s="104">
        <f>'DataCalculations-Cal Poly'!F34</f>
        <v>10685.549506363644</v>
      </c>
      <c r="H32" s="130">
        <f>'DataCalculations-Cal Poly'!I34</f>
        <v>191701.05168940287</v>
      </c>
      <c r="I32" s="103">
        <f t="shared" si="6"/>
        <v>89977.03652675393</v>
      </c>
      <c r="J32" s="103">
        <f t="shared" si="7"/>
        <v>346576.8449004703</v>
      </c>
      <c r="K32" s="131">
        <f t="shared" si="1"/>
        <v>64898.756684313485</v>
      </c>
      <c r="L32" s="103">
        <f t="shared" si="2"/>
        <v>3733.2036906242147</v>
      </c>
    </row>
    <row r="33" spans="1:12" ht="12.75">
      <c r="A33" s="88">
        <f t="shared" si="3"/>
        <v>10</v>
      </c>
      <c r="B33" s="103">
        <f t="shared" si="4"/>
        <v>15412.064652563033</v>
      </c>
      <c r="C33" s="113">
        <f t="shared" si="5"/>
        <v>4332.210561255879</v>
      </c>
      <c r="D33" s="113">
        <f t="shared" si="8"/>
        <v>3816</v>
      </c>
      <c r="E33" s="113">
        <f aca="true" t="shared" si="9" ref="E33:E53">+E32</f>
        <v>3999.96</v>
      </c>
      <c r="F33" s="132">
        <f t="shared" si="0"/>
        <v>27560.23521381891</v>
      </c>
      <c r="G33" s="104">
        <f>'DataCalculations-Cal Poly'!F35</f>
        <v>10418.93603417063</v>
      </c>
      <c r="H33" s="130">
        <f>'DataCalculations-Cal Poly'!I35</f>
        <v>186707.9077235735</v>
      </c>
      <c r="I33" s="103">
        <f t="shared" si="6"/>
        <v>94475.88835309164</v>
      </c>
      <c r="J33" s="103">
        <f t="shared" si="7"/>
        <v>353508.3817984797</v>
      </c>
      <c r="K33" s="131">
        <f t="shared" si="1"/>
        <v>72324.58572181457</v>
      </c>
      <c r="L33" s="103">
        <f t="shared" si="2"/>
        <v>3687.7866488566274</v>
      </c>
    </row>
    <row r="34" spans="1:12" ht="12.75">
      <c r="A34" s="88">
        <f t="shared" si="3"/>
        <v>11</v>
      </c>
      <c r="B34" s="103">
        <f t="shared" si="4"/>
        <v>15412.064652563033</v>
      </c>
      <c r="C34" s="113">
        <f t="shared" si="5"/>
        <v>4418.854772480997</v>
      </c>
      <c r="D34" s="113">
        <f t="shared" si="8"/>
        <v>3816</v>
      </c>
      <c r="E34" s="113">
        <f t="shared" si="9"/>
        <v>3999.96</v>
      </c>
      <c r="F34" s="132">
        <f t="shared" si="0"/>
        <v>27646.87942504403</v>
      </c>
      <c r="G34" s="104">
        <f>'DataCalculations-Cal Poly'!F36</f>
        <v>10137.283466461271</v>
      </c>
      <c r="H34" s="130">
        <f>'DataCalculations-Cal Poly'!I36</f>
        <v>181433.11119003478</v>
      </c>
      <c r="I34" s="103">
        <f t="shared" si="6"/>
        <v>99199.68277074622</v>
      </c>
      <c r="J34" s="103">
        <f t="shared" si="7"/>
        <v>360578.5494344493</v>
      </c>
      <c r="K34" s="131">
        <f t="shared" si="1"/>
        <v>79945.7554736683</v>
      </c>
      <c r="L34" s="103">
        <f t="shared" si="2"/>
        <v>3639.034559735567</v>
      </c>
    </row>
    <row r="35" spans="1:12" ht="12.75">
      <c r="A35" s="88">
        <f t="shared" si="3"/>
        <v>12</v>
      </c>
      <c r="B35" s="103">
        <f t="shared" si="4"/>
        <v>15412.064652563033</v>
      </c>
      <c r="C35" s="113">
        <f t="shared" si="5"/>
        <v>4507.231867930617</v>
      </c>
      <c r="D35" s="113">
        <f t="shared" si="8"/>
        <v>3816</v>
      </c>
      <c r="E35" s="113">
        <f t="shared" si="9"/>
        <v>3999.96</v>
      </c>
      <c r="F35" s="132">
        <f t="shared" si="0"/>
        <v>27735.256520493647</v>
      </c>
      <c r="G35" s="104">
        <f>'DataCalculations-Cal Poly'!F37</f>
        <v>9839.74348003529</v>
      </c>
      <c r="H35" s="130">
        <f>'DataCalculations-Cal Poly'!I37</f>
        <v>175860.77467007007</v>
      </c>
      <c r="I35" s="103">
        <f t="shared" si="6"/>
        <v>104159.66690928354</v>
      </c>
      <c r="J35" s="103">
        <f t="shared" si="7"/>
        <v>367790.12042313826</v>
      </c>
      <c r="K35" s="131">
        <f t="shared" si="1"/>
        <v>87769.67884378466</v>
      </c>
      <c r="L35" s="103">
        <f t="shared" si="2"/>
        <v>3586.7438369914767</v>
      </c>
    </row>
    <row r="36" spans="1:12" ht="12.75">
      <c r="A36" s="88">
        <f t="shared" si="3"/>
        <v>13</v>
      </c>
      <c r="B36" s="103">
        <f t="shared" si="4"/>
        <v>15412.064652563033</v>
      </c>
      <c r="C36" s="113">
        <f t="shared" si="5"/>
        <v>4597.3765052892295</v>
      </c>
      <c r="D36" s="113">
        <f t="shared" si="8"/>
        <v>3816</v>
      </c>
      <c r="E36" s="113">
        <f t="shared" si="9"/>
        <v>3999.96</v>
      </c>
      <c r="F36" s="132">
        <f t="shared" si="0"/>
        <v>27825.401157852262</v>
      </c>
      <c r="G36" s="104">
        <f>'DataCalculations-Cal Poly'!F38</f>
        <v>9525.419899595912</v>
      </c>
      <c r="H36" s="130">
        <f>'DataCalculations-Cal Poly'!I38</f>
        <v>169974.11456966598</v>
      </c>
      <c r="I36" s="103">
        <f t="shared" si="6"/>
        <v>109367.65025474771</v>
      </c>
      <c r="J36" s="103">
        <f t="shared" si="7"/>
        <v>375145.92283160106</v>
      </c>
      <c r="K36" s="131">
        <f t="shared" si="1"/>
        <v>95804.15800718736</v>
      </c>
      <c r="L36" s="103">
        <f t="shared" si="2"/>
        <v>3530.6991012212857</v>
      </c>
    </row>
    <row r="37" spans="1:12" ht="12.75">
      <c r="A37" s="88">
        <f t="shared" si="3"/>
        <v>14</v>
      </c>
      <c r="B37" s="103">
        <f t="shared" si="4"/>
        <v>15412.064652563033</v>
      </c>
      <c r="C37" s="113">
        <f t="shared" si="5"/>
        <v>4689.324035395014</v>
      </c>
      <c r="D37" s="113">
        <f t="shared" si="8"/>
        <v>3816</v>
      </c>
      <c r="E37" s="113">
        <f t="shared" si="9"/>
        <v>3999.96</v>
      </c>
      <c r="F37" s="132">
        <f t="shared" si="0"/>
        <v>27917.348687958045</v>
      </c>
      <c r="G37" s="104">
        <f>'DataCalculations-Cal Poly'!F39</f>
        <v>9193.3659985152</v>
      </c>
      <c r="H37" s="130">
        <f>'DataCalculations-Cal Poly'!I39</f>
        <v>163755.40056818118</v>
      </c>
      <c r="I37" s="103">
        <f t="shared" si="6"/>
        <v>114836.0327674851</v>
      </c>
      <c r="J37" s="103">
        <f t="shared" si="7"/>
        <v>382648.84128823306</v>
      </c>
      <c r="K37" s="131">
        <f t="shared" si="1"/>
        <v>104057.40795256678</v>
      </c>
      <c r="L37" s="103">
        <f t="shared" si="2"/>
        <v>3470.6725084775535</v>
      </c>
    </row>
    <row r="38" spans="1:12" ht="12.75">
      <c r="A38" s="88">
        <f t="shared" si="3"/>
        <v>15</v>
      </c>
      <c r="B38" s="103">
        <f t="shared" si="4"/>
        <v>15412.064652563033</v>
      </c>
      <c r="C38" s="113">
        <f t="shared" si="5"/>
        <v>4783.1105161029145</v>
      </c>
      <c r="D38" s="113">
        <f t="shared" si="8"/>
        <v>3816</v>
      </c>
      <c r="E38" s="113">
        <f t="shared" si="9"/>
        <v>3999.96</v>
      </c>
      <c r="F38" s="132">
        <f t="shared" si="0"/>
        <v>28011.135168665947</v>
      </c>
      <c r="G38" s="104">
        <f>'DataCalculations-Cal Poly'!F40</f>
        <v>8842.581647341878</v>
      </c>
      <c r="H38" s="130">
        <f>'DataCalculations-Cal Poly'!I40</f>
        <v>157185.90221552306</v>
      </c>
      <c r="I38" s="103">
        <f t="shared" si="6"/>
        <v>120577.83440585936</v>
      </c>
      <c r="J38" s="103">
        <f t="shared" si="7"/>
        <v>390301.81811399775</v>
      </c>
      <c r="K38" s="131">
        <f t="shared" si="1"/>
        <v>112538.08149261533</v>
      </c>
      <c r="L38" s="103">
        <f t="shared" si="2"/>
        <v>3406.4230408611984</v>
      </c>
    </row>
    <row r="39" spans="1:12" ht="12.75">
      <c r="A39" s="88">
        <f t="shared" si="3"/>
        <v>16</v>
      </c>
      <c r="B39" s="103">
        <f t="shared" si="4"/>
        <v>15412.064652563033</v>
      </c>
      <c r="C39" s="113">
        <f t="shared" si="5"/>
        <v>4878.7727264249725</v>
      </c>
      <c r="D39" s="113">
        <f t="shared" si="8"/>
        <v>3816</v>
      </c>
      <c r="E39" s="113">
        <f t="shared" si="9"/>
        <v>3999.96</v>
      </c>
      <c r="F39" s="132">
        <f t="shared" si="0"/>
        <v>28106.797378988005</v>
      </c>
      <c r="G39" s="104">
        <f>'DataCalculations-Cal Poly'!F41</f>
        <v>8472.010301462124</v>
      </c>
      <c r="H39" s="130">
        <f>'DataCalculations-Cal Poly'!I41</f>
        <v>150245.8325169852</v>
      </c>
      <c r="I39" s="103">
        <f t="shared" si="6"/>
        <v>126606.72612615234</v>
      </c>
      <c r="J39" s="103">
        <f t="shared" si="7"/>
        <v>398107.8544762777</v>
      </c>
      <c r="K39" s="131">
        <f t="shared" si="1"/>
        <v>121255.29583314019</v>
      </c>
      <c r="L39" s="103">
        <f t="shared" si="2"/>
        <v>3337.6957569717742</v>
      </c>
    </row>
    <row r="40" spans="1:12" ht="12.75">
      <c r="A40" s="88">
        <f t="shared" si="3"/>
        <v>17</v>
      </c>
      <c r="B40" s="103">
        <f t="shared" si="4"/>
        <v>15412.064652563033</v>
      </c>
      <c r="C40" s="113">
        <f t="shared" si="5"/>
        <v>4976.348180953472</v>
      </c>
      <c r="D40" s="113">
        <f t="shared" si="8"/>
        <v>3816</v>
      </c>
      <c r="E40" s="113">
        <f t="shared" si="9"/>
        <v>3999.96</v>
      </c>
      <c r="F40" s="132">
        <f t="shared" si="0"/>
        <v>28204.372833516503</v>
      </c>
      <c r="G40" s="104">
        <f>'DataCalculations-Cal Poly'!F42</f>
        <v>8080.535818841145</v>
      </c>
      <c r="H40" s="130">
        <f>'DataCalculations-Cal Poly'!I42</f>
        <v>142914.28833582634</v>
      </c>
      <c r="I40" s="103">
        <f t="shared" si="6"/>
        <v>132937.06243245996</v>
      </c>
      <c r="J40" s="103">
        <f t="shared" si="7"/>
        <v>406070.01156580326</v>
      </c>
      <c r="K40" s="131">
        <f t="shared" si="1"/>
        <v>130218.66079751699</v>
      </c>
      <c r="L40" s="103">
        <f t="shared" si="2"/>
        <v>3264.220999948654</v>
      </c>
    </row>
    <row r="41" spans="1:12" ht="12.75">
      <c r="A41" s="88">
        <f t="shared" si="3"/>
        <v>18</v>
      </c>
      <c r="B41" s="103">
        <f t="shared" si="4"/>
        <v>15412.064652563033</v>
      </c>
      <c r="C41" s="113">
        <f t="shared" si="5"/>
        <v>5075.875144572542</v>
      </c>
      <c r="D41" s="113">
        <f t="shared" si="8"/>
        <v>3816</v>
      </c>
      <c r="E41" s="113">
        <f t="shared" si="9"/>
        <v>3999.96</v>
      </c>
      <c r="F41" s="132">
        <f t="shared" si="0"/>
        <v>28303.899797135575</v>
      </c>
      <c r="G41" s="104">
        <f>'DataCalculations-Cal Poly'!F43</f>
        <v>7666.979098259919</v>
      </c>
      <c r="H41" s="130">
        <f>'DataCalculations-Cal Poly'!I43</f>
        <v>135169.18743408626</v>
      </c>
      <c r="I41" s="103">
        <f t="shared" si="6"/>
        <v>139583.91555408298</v>
      </c>
      <c r="J41" s="103">
        <f t="shared" si="7"/>
        <v>414191.4117971193</v>
      </c>
      <c r="K41" s="131">
        <f t="shared" si="1"/>
        <v>139438.3088089501</v>
      </c>
      <c r="L41" s="103">
        <f t="shared" si="2"/>
        <v>3185.7135607081154</v>
      </c>
    </row>
    <row r="42" spans="1:12" ht="12.75">
      <c r="A42" s="88">
        <f t="shared" si="3"/>
        <v>19</v>
      </c>
      <c r="B42" s="103">
        <f t="shared" si="4"/>
        <v>15412.064652563033</v>
      </c>
      <c r="C42" s="113">
        <f t="shared" si="5"/>
        <v>5177.392647463993</v>
      </c>
      <c r="D42" s="113">
        <f t="shared" si="8"/>
        <v>3816</v>
      </c>
      <c r="E42" s="113">
        <f t="shared" si="9"/>
        <v>3999.96</v>
      </c>
      <c r="F42" s="132">
        <f t="shared" si="0"/>
        <v>28405.417300027024</v>
      </c>
      <c r="G42" s="104">
        <f>'DataCalculations-Cal Poly'!F44</f>
        <v>7230.094527922698</v>
      </c>
      <c r="H42" s="130">
        <f>'DataCalculations-Cal Poly'!I44</f>
        <v>126987.20196200896</v>
      </c>
      <c r="I42" s="103">
        <f t="shared" si="6"/>
        <v>146563.11133178713</v>
      </c>
      <c r="J42" s="103">
        <f t="shared" si="7"/>
        <v>422475.2400330617</v>
      </c>
      <c r="K42" s="131">
        <f t="shared" si="1"/>
        <v>148924.92673926562</v>
      </c>
      <c r="L42" s="103">
        <f t="shared" si="2"/>
        <v>3101.8717938466725</v>
      </c>
    </row>
    <row r="43" spans="1:12" ht="12.75">
      <c r="A43" s="88">
        <f t="shared" si="3"/>
        <v>20</v>
      </c>
      <c r="B43" s="103">
        <f t="shared" si="4"/>
        <v>15412.064652563033</v>
      </c>
      <c r="C43" s="113">
        <f t="shared" si="5"/>
        <v>5280.940500413273</v>
      </c>
      <c r="D43" s="113">
        <f t="shared" si="8"/>
        <v>3816</v>
      </c>
      <c r="E43" s="113">
        <f t="shared" si="9"/>
        <v>3999.96</v>
      </c>
      <c r="F43" s="132">
        <f t="shared" si="0"/>
        <v>28508.965152976307</v>
      </c>
      <c r="G43" s="104">
        <f>'DataCalculations-Cal Poly'!F45</f>
        <v>6768.566233737274</v>
      </c>
      <c r="H43" s="130">
        <f>'DataCalculations-Cal Poly'!I45</f>
        <v>118343.68819574623</v>
      </c>
      <c r="I43" s="103">
        <f t="shared" si="6"/>
        <v>153891.2668983765</v>
      </c>
      <c r="J43" s="103">
        <f t="shared" si="7"/>
        <v>430924.74483372294</v>
      </c>
      <c r="K43" s="131">
        <f t="shared" si="1"/>
        <v>158689.78973960024</v>
      </c>
      <c r="L43" s="103">
        <f t="shared" si="2"/>
        <v>3012.376683537637</v>
      </c>
    </row>
    <row r="44" spans="1:12" ht="12.75">
      <c r="A44" s="88">
        <f t="shared" si="3"/>
        <v>21</v>
      </c>
      <c r="B44" s="103">
        <f t="shared" si="4"/>
        <v>15412.064652563033</v>
      </c>
      <c r="C44" s="113">
        <f t="shared" si="5"/>
        <v>5386.559310421539</v>
      </c>
      <c r="D44" s="113">
        <f t="shared" si="8"/>
        <v>3816</v>
      </c>
      <c r="E44" s="113">
        <f t="shared" si="9"/>
        <v>3999.96</v>
      </c>
      <c r="F44" s="132">
        <f t="shared" si="0"/>
        <v>28614.583962984572</v>
      </c>
      <c r="G44" s="104">
        <f>'DataCalculations-Cal Poly'!F46</f>
        <v>6281.004115969463</v>
      </c>
      <c r="H44" s="130">
        <f>'DataCalculations-Cal Poly'!I46</f>
        <v>109212.6123117157</v>
      </c>
      <c r="I44" s="103">
        <f t="shared" si="6"/>
        <v>161585.83024329532</v>
      </c>
      <c r="J44" s="103">
        <f t="shared" si="7"/>
        <v>439543.2397303974</v>
      </c>
      <c r="K44" s="131">
        <f t="shared" si="1"/>
        <v>168744.79717538643</v>
      </c>
      <c r="L44" s="103">
        <f t="shared" si="2"/>
        <v>2916.8908565977504</v>
      </c>
    </row>
    <row r="45" spans="1:12" ht="12.75">
      <c r="A45" s="88">
        <f t="shared" si="3"/>
        <v>22</v>
      </c>
      <c r="B45" s="103">
        <f t="shared" si="4"/>
        <v>15412.064652563033</v>
      </c>
      <c r="C45" s="113">
        <f t="shared" si="5"/>
        <v>5494.290496629969</v>
      </c>
      <c r="D45" s="113">
        <f t="shared" si="8"/>
        <v>3816</v>
      </c>
      <c r="E45" s="113">
        <f t="shared" si="9"/>
        <v>3999.96</v>
      </c>
      <c r="F45" s="132">
        <f t="shared" si="0"/>
        <v>28722.315149193</v>
      </c>
      <c r="G45" s="104">
        <f>'DataCalculations-Cal Poly'!F47</f>
        <v>5765.939662333385</v>
      </c>
      <c r="H45" s="130">
        <f>'DataCalculations-Cal Poly'!I47</f>
        <v>99566.47197404908</v>
      </c>
      <c r="I45" s="103">
        <f t="shared" si="6"/>
        <v>169665.1217554601</v>
      </c>
      <c r="J45" s="103">
        <f t="shared" si="7"/>
        <v>448334.1045250054</v>
      </c>
      <c r="K45" s="131">
        <f t="shared" si="1"/>
        <v>179102.51079549623</v>
      </c>
      <c r="L45" s="103">
        <f t="shared" si="2"/>
        <v>2815.0575397408384</v>
      </c>
    </row>
    <row r="46" spans="1:12" ht="12.75">
      <c r="A46" s="88">
        <f t="shared" si="3"/>
        <v>23</v>
      </c>
      <c r="B46" s="103">
        <f t="shared" si="4"/>
        <v>15412.064652563033</v>
      </c>
      <c r="C46" s="113">
        <f t="shared" si="5"/>
        <v>5604.176306562569</v>
      </c>
      <c r="D46" s="113">
        <f t="shared" si="8"/>
        <v>3816</v>
      </c>
      <c r="E46" s="113">
        <f t="shared" si="9"/>
        <v>3999.96</v>
      </c>
      <c r="F46" s="132">
        <f t="shared" si="0"/>
        <v>28832.2009591256</v>
      </c>
      <c r="G46" s="104">
        <f>'DataCalculations-Cal Poly'!F48</f>
        <v>5221.8215249069435</v>
      </c>
      <c r="H46" s="130">
        <f>'DataCalculations-Cal Poly'!I48</f>
        <v>89376.21349895603</v>
      </c>
      <c r="I46" s="103">
        <f t="shared" si="6"/>
        <v>178148.37784323312</v>
      </c>
      <c r="J46" s="103">
        <f t="shared" si="7"/>
        <v>457300.7866155055</v>
      </c>
      <c r="K46" s="131">
        <f t="shared" si="1"/>
        <v>189776.1952733164</v>
      </c>
      <c r="L46" s="103">
        <f t="shared" si="2"/>
        <v>2706.499457867378</v>
      </c>
    </row>
    <row r="47" spans="1:12" ht="12.75">
      <c r="A47" s="88">
        <f t="shared" si="3"/>
        <v>24</v>
      </c>
      <c r="B47" s="103">
        <f t="shared" si="4"/>
        <v>15412.064652563033</v>
      </c>
      <c r="C47" s="113">
        <f t="shared" si="5"/>
        <v>5716.2598326938205</v>
      </c>
      <c r="D47" s="113">
        <f t="shared" si="8"/>
        <v>3816</v>
      </c>
      <c r="E47" s="113">
        <f t="shared" si="9"/>
        <v>3999.96</v>
      </c>
      <c r="F47" s="132">
        <f t="shared" si="0"/>
        <v>28944.284485256852</v>
      </c>
      <c r="G47" s="104">
        <f>'DataCalculations-Cal Poly'!F49</f>
        <v>4647.010847551424</v>
      </c>
      <c r="H47" s="130">
        <f>'DataCalculations-Cal Poly'!I49</f>
        <v>78611.14434650746</v>
      </c>
      <c r="I47" s="103">
        <f t="shared" si="6"/>
        <v>187055.79673539478</v>
      </c>
      <c r="J47" s="103">
        <f t="shared" si="7"/>
        <v>466446.80234781565</v>
      </c>
      <c r="K47" s="131">
        <f t="shared" si="1"/>
        <v>200779.86126591344</v>
      </c>
      <c r="L47" s="103">
        <f t="shared" si="2"/>
        <v>2590.817670061311</v>
      </c>
    </row>
    <row r="48" spans="1:12" ht="12.75">
      <c r="A48" s="88">
        <f t="shared" si="3"/>
        <v>25</v>
      </c>
      <c r="B48" s="103">
        <f t="shared" si="4"/>
        <v>15412.064652563033</v>
      </c>
      <c r="C48" s="113">
        <f t="shared" si="5"/>
        <v>5830.585029347697</v>
      </c>
      <c r="D48" s="113">
        <f t="shared" si="8"/>
        <v>3816</v>
      </c>
      <c r="E48" s="113">
        <f t="shared" si="9"/>
        <v>3999.96</v>
      </c>
      <c r="F48" s="132">
        <f t="shared" si="0"/>
        <v>29058.60968191073</v>
      </c>
      <c r="G48" s="104">
        <f>'DataCalculations-Cal Poly'!F50</f>
        <v>4039.7763297594174</v>
      </c>
      <c r="H48" s="130">
        <f>'DataCalculations-Cal Poly'!I50</f>
        <v>67238.84067626687</v>
      </c>
      <c r="I48" s="103">
        <f t="shared" si="6"/>
        <v>196408.58657216452</v>
      </c>
      <c r="J48" s="103">
        <f t="shared" si="7"/>
        <v>475775.738394772</v>
      </c>
      <c r="K48" s="131">
        <f t="shared" si="1"/>
        <v>212128.3111463406</v>
      </c>
      <c r="L48" s="103">
        <f t="shared" si="2"/>
        <v>2467.590339776779</v>
      </c>
    </row>
    <row r="49" spans="1:12" ht="12.75">
      <c r="A49" s="88">
        <f t="shared" si="3"/>
        <v>26</v>
      </c>
      <c r="B49" s="103">
        <f t="shared" si="4"/>
        <v>15412.064652563033</v>
      </c>
      <c r="C49" s="113">
        <f t="shared" si="5"/>
        <v>5947.196729934651</v>
      </c>
      <c r="D49" s="113">
        <f t="shared" si="8"/>
        <v>3816</v>
      </c>
      <c r="E49" s="113">
        <f t="shared" si="9"/>
        <v>3999.96</v>
      </c>
      <c r="F49" s="132">
        <f t="shared" si="0"/>
        <v>29175.221382497682</v>
      </c>
      <c r="G49" s="104">
        <f>'DataCalculations-Cal Poly'!F51</f>
        <v>3398.2890120665943</v>
      </c>
      <c r="H49" s="130">
        <f>'DataCalculations-Cal Poly'!I51</f>
        <v>55225.04968833347</v>
      </c>
      <c r="I49" s="103">
        <f t="shared" si="6"/>
        <v>206229.01590077276</v>
      </c>
      <c r="J49" s="103">
        <f t="shared" si="7"/>
        <v>485291.25316266745</v>
      </c>
      <c r="K49" s="131">
        <f t="shared" si="1"/>
        <v>223837.1875735612</v>
      </c>
      <c r="L49" s="103">
        <f t="shared" si="2"/>
        <v>2336.3714355003112</v>
      </c>
    </row>
    <row r="50" spans="1:12" ht="12.75">
      <c r="A50" s="88">
        <f t="shared" si="3"/>
        <v>27</v>
      </c>
      <c r="B50" s="103">
        <f t="shared" si="4"/>
        <v>15412.064652563033</v>
      </c>
      <c r="C50" s="113">
        <f t="shared" si="5"/>
        <v>6066.140664533344</v>
      </c>
      <c r="D50" s="113">
        <f t="shared" si="8"/>
        <v>3816</v>
      </c>
      <c r="E50" s="113">
        <f t="shared" si="9"/>
        <v>3999.96</v>
      </c>
      <c r="F50" s="132">
        <f t="shared" si="0"/>
        <v>29294.165317096376</v>
      </c>
      <c r="G50" s="104">
        <f>'DataCalculations-Cal Poly'!F52</f>
        <v>2720.6167673182754</v>
      </c>
      <c r="H50" s="130">
        <f>'DataCalculations-Cal Poly'!I52</f>
        <v>42533.58645565175</v>
      </c>
      <c r="I50" s="103">
        <f t="shared" si="6"/>
        <v>216540.46669581142</v>
      </c>
      <c r="J50" s="103">
        <f t="shared" si="7"/>
        <v>494997.0782259208</v>
      </c>
      <c r="K50" s="131">
        <f t="shared" si="1"/>
        <v>235923.02507445763</v>
      </c>
      <c r="L50" s="103">
        <f t="shared" si="2"/>
        <v>2196.689357962905</v>
      </c>
    </row>
    <row r="51" spans="1:12" ht="12.75">
      <c r="A51" s="88">
        <f t="shared" si="3"/>
        <v>28</v>
      </c>
      <c r="B51" s="103">
        <f t="shared" si="4"/>
        <v>15412.064652563033</v>
      </c>
      <c r="C51" s="113">
        <f t="shared" si="5"/>
        <v>6187.463477824011</v>
      </c>
      <c r="D51" s="113">
        <f t="shared" si="8"/>
        <v>3816</v>
      </c>
      <c r="E51" s="113">
        <f t="shared" si="9"/>
        <v>3999.96</v>
      </c>
      <c r="F51" s="132">
        <f t="shared" si="0"/>
        <v>29415.488130387042</v>
      </c>
      <c r="G51" s="104">
        <f>'DataCalculations-Cal Poly'!F53</f>
        <v>2004.71848120098</v>
      </c>
      <c r="H51" s="130">
        <f>'DataCalculations-Cal Poly'!I53</f>
        <v>29126.22493685273</v>
      </c>
      <c r="I51" s="103">
        <f t="shared" si="6"/>
        <v>227367.490030602</v>
      </c>
      <c r="J51" s="103">
        <f t="shared" si="7"/>
        <v>504897.0197904392</v>
      </c>
      <c r="K51" s="131">
        <f t="shared" si="1"/>
        <v>248403.30482298447</v>
      </c>
      <c r="L51" s="103">
        <f t="shared" si="2"/>
        <v>2048.0454897562477</v>
      </c>
    </row>
    <row r="52" spans="1:12" ht="12.75">
      <c r="A52" s="88">
        <f t="shared" si="3"/>
        <v>29</v>
      </c>
      <c r="B52" s="103">
        <f t="shared" si="4"/>
        <v>15412.064652563033</v>
      </c>
      <c r="C52" s="113">
        <f t="shared" si="5"/>
        <v>6311.212747380491</v>
      </c>
      <c r="D52" s="113">
        <f t="shared" si="8"/>
        <v>3816</v>
      </c>
      <c r="E52" s="113">
        <f t="shared" si="9"/>
        <v>3999.96</v>
      </c>
      <c r="F52" s="132">
        <f t="shared" si="0"/>
        <v>29539.237399943522</v>
      </c>
      <c r="G52" s="104">
        <f>'DataCalculations-Cal Poly'!F54</f>
        <v>1248.4379045101487</v>
      </c>
      <c r="H52" s="130">
        <f>'DataCalculations-Cal Poly'!I54</f>
        <v>14962.58284136288</v>
      </c>
      <c r="I52" s="103">
        <f t="shared" si="6"/>
        <v>238735.8645321321</v>
      </c>
      <c r="J52" s="103">
        <f t="shared" si="7"/>
        <v>514994.960186248</v>
      </c>
      <c r="K52" s="131">
        <f t="shared" si="1"/>
        <v>261296.51281275303</v>
      </c>
      <c r="L52" s="103">
        <f t="shared" si="2"/>
        <v>1889.91266297266</v>
      </c>
    </row>
    <row r="53" spans="1:12" ht="12.75">
      <c r="A53" s="88">
        <f t="shared" si="3"/>
        <v>30</v>
      </c>
      <c r="B53" s="103">
        <f t="shared" si="4"/>
        <v>15412.064652563033</v>
      </c>
      <c r="C53" s="113">
        <f t="shared" si="5"/>
        <v>6437.437002328101</v>
      </c>
      <c r="D53" s="113">
        <f t="shared" si="8"/>
        <v>3816</v>
      </c>
      <c r="E53" s="113">
        <f t="shared" si="9"/>
        <v>3999.96</v>
      </c>
      <c r="F53" s="132">
        <f t="shared" si="0"/>
        <v>29665.461654891133</v>
      </c>
      <c r="G53" s="104">
        <f>'DataCalculations-Cal Poly'!F55</f>
        <v>449.49715863711754</v>
      </c>
      <c r="H53" s="130">
        <f>'DataCalculations-Cal Poly'!I55</f>
        <v>0</v>
      </c>
      <c r="I53" s="103">
        <f t="shared" si="6"/>
        <v>250672.65775873873</v>
      </c>
      <c r="J53" s="103">
        <f t="shared" si="7"/>
        <v>525294.859389973</v>
      </c>
      <c r="K53" s="131">
        <f t="shared" si="1"/>
        <v>274622.20163123426</v>
      </c>
      <c r="L53" s="103">
        <f t="shared" si="2"/>
        <v>1721.7335402413046</v>
      </c>
    </row>
    <row r="54" spans="4:5" ht="12.75">
      <c r="D54" s="133"/>
      <c r="E54" s="133"/>
    </row>
    <row r="55" spans="1:2" ht="12.75">
      <c r="A55" s="134"/>
      <c r="B55" s="135" t="s">
        <v>121</v>
      </c>
    </row>
    <row r="56" spans="1:2" ht="12.75">
      <c r="A56" s="134"/>
      <c r="B56" s="136" t="s">
        <v>118</v>
      </c>
    </row>
    <row r="58" spans="1:14" ht="12.75">
      <c r="A58" s="137" t="s">
        <v>108</v>
      </c>
      <c r="B58" s="136" t="s">
        <v>109</v>
      </c>
      <c r="C58" s="136"/>
      <c r="D58" s="136"/>
      <c r="E58" s="136"/>
      <c r="F58" s="136"/>
      <c r="G58" s="136"/>
      <c r="H58" s="136"/>
      <c r="I58" s="136"/>
      <c r="J58" s="136"/>
      <c r="K58" s="136"/>
      <c r="L58" s="136"/>
      <c r="M58" s="136"/>
      <c r="N58" s="138"/>
    </row>
    <row r="59" spans="1:14" ht="12.75">
      <c r="A59" s="138"/>
      <c r="B59" s="136" t="s">
        <v>115</v>
      </c>
      <c r="C59" s="136"/>
      <c r="D59" s="136"/>
      <c r="E59" s="136"/>
      <c r="F59" s="136"/>
      <c r="G59" s="136"/>
      <c r="H59" s="136"/>
      <c r="I59" s="136"/>
      <c r="J59" s="136"/>
      <c r="K59" s="136"/>
      <c r="L59" s="136"/>
      <c r="M59" s="136"/>
      <c r="N59" s="138"/>
    </row>
    <row r="60" spans="1:14" ht="12.75">
      <c r="A60" s="138"/>
      <c r="B60" s="136" t="s">
        <v>116</v>
      </c>
      <c r="C60" s="136"/>
      <c r="D60" s="136"/>
      <c r="E60" s="136"/>
      <c r="F60" s="136"/>
      <c r="G60" s="136"/>
      <c r="H60" s="136"/>
      <c r="I60" s="136"/>
      <c r="J60" s="136"/>
      <c r="K60" s="136"/>
      <c r="L60" s="136"/>
      <c r="M60" s="136"/>
      <c r="N60" s="138"/>
    </row>
    <row r="61" spans="1:14" ht="12.75">
      <c r="A61" s="138"/>
      <c r="B61" s="136" t="s">
        <v>107</v>
      </c>
      <c r="C61" s="136"/>
      <c r="D61" s="136"/>
      <c r="E61" s="136"/>
      <c r="F61" s="136"/>
      <c r="G61" s="136"/>
      <c r="H61" s="136"/>
      <c r="I61" s="136"/>
      <c r="J61" s="136"/>
      <c r="K61" s="136"/>
      <c r="L61" s="136"/>
      <c r="M61" s="136"/>
      <c r="N61" s="138"/>
    </row>
    <row r="62" spans="1:14" ht="12.75">
      <c r="A62" s="138"/>
      <c r="B62" s="136" t="s">
        <v>106</v>
      </c>
      <c r="C62" s="136"/>
      <c r="D62" s="136"/>
      <c r="E62" s="136"/>
      <c r="F62" s="136"/>
      <c r="G62" s="136"/>
      <c r="H62" s="136"/>
      <c r="I62" s="136"/>
      <c r="J62" s="136"/>
      <c r="K62" s="136"/>
      <c r="L62" s="136"/>
      <c r="M62" s="136"/>
      <c r="N62" s="138"/>
    </row>
    <row r="63" spans="1:14" ht="12.75">
      <c r="A63" s="138"/>
      <c r="B63" s="136" t="s">
        <v>114</v>
      </c>
      <c r="C63" s="136"/>
      <c r="D63" s="136"/>
      <c r="E63" s="136"/>
      <c r="F63" s="136"/>
      <c r="G63" s="136"/>
      <c r="H63" s="136"/>
      <c r="I63" s="136"/>
      <c r="J63" s="136"/>
      <c r="K63" s="136"/>
      <c r="L63" s="136"/>
      <c r="M63" s="136"/>
      <c r="N63" s="138"/>
    </row>
  </sheetData>
  <sheetProtection password="CC59" sheet="1"/>
  <printOptions/>
  <pageMargins left="0.75" right="0.75" top="1" bottom="1" header="0.5" footer="0.5"/>
  <pageSetup fitToHeight="1" fitToWidth="1" horizontalDpi="600" verticalDpi="600" orientation="portrait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N63"/>
  <sheetViews>
    <sheetView workbookViewId="0" topLeftCell="A1">
      <selection activeCell="G9" sqref="G9"/>
    </sheetView>
  </sheetViews>
  <sheetFormatPr defaultColWidth="9.140625" defaultRowHeight="12.75"/>
  <cols>
    <col min="1" max="1" width="6.140625" style="88" customWidth="1"/>
    <col min="2" max="2" width="11.8515625" style="88" customWidth="1"/>
    <col min="3" max="3" width="10.28125" style="88" bestFit="1" customWidth="1"/>
    <col min="4" max="4" width="10.28125" style="88" hidden="1" customWidth="1"/>
    <col min="5" max="6" width="12.28125" style="88" hidden="1" customWidth="1"/>
    <col min="7" max="7" width="11.28125" style="88" bestFit="1" customWidth="1"/>
    <col min="8" max="8" width="11.8515625" style="88" customWidth="1"/>
    <col min="9" max="9" width="0.13671875" style="88" hidden="1" customWidth="1"/>
    <col min="10" max="10" width="13.140625" style="88" bestFit="1" customWidth="1"/>
    <col min="11" max="11" width="12.28125" style="88" bestFit="1" customWidth="1"/>
    <col min="12" max="12" width="10.28125" style="88" bestFit="1" customWidth="1"/>
    <col min="13" max="13" width="8.8515625" style="88" customWidth="1"/>
    <col min="14" max="16384" width="9.140625" style="88" customWidth="1"/>
  </cols>
  <sheetData>
    <row r="1" spans="1:10" ht="12.75">
      <c r="A1" s="105" t="s">
        <v>127</v>
      </c>
      <c r="I1" s="106" t="s">
        <v>113</v>
      </c>
      <c r="J1" s="106"/>
    </row>
    <row r="2" spans="1:3" ht="38.25">
      <c r="A2" s="105"/>
      <c r="C2" s="107" t="s">
        <v>120</v>
      </c>
    </row>
    <row r="3" spans="1:7" ht="12.75">
      <c r="A3" s="108" t="s">
        <v>100</v>
      </c>
      <c r="G3" s="164">
        <v>270000</v>
      </c>
    </row>
    <row r="4" spans="1:7" ht="12.75">
      <c r="A4" s="165">
        <v>0.05</v>
      </c>
      <c r="B4" s="88" t="s">
        <v>126</v>
      </c>
      <c r="G4" s="103">
        <f>+G3*A4</f>
        <v>13500</v>
      </c>
    </row>
    <row r="5" spans="1:13" ht="12.75" hidden="1">
      <c r="A5" s="88" t="s">
        <v>20</v>
      </c>
      <c r="C5" s="109">
        <v>0.05</v>
      </c>
      <c r="G5" s="103">
        <v>0</v>
      </c>
      <c r="H5" s="108" t="s">
        <v>105</v>
      </c>
      <c r="I5" s="108"/>
      <c r="J5" s="108"/>
      <c r="K5" s="108"/>
      <c r="L5" s="108"/>
      <c r="M5" s="108"/>
    </row>
    <row r="6" spans="1:8" ht="12.75">
      <c r="A6" s="88" t="s">
        <v>10</v>
      </c>
      <c r="C6" s="176">
        <v>0.055</v>
      </c>
      <c r="G6" s="103">
        <f>+G3-G4-G5</f>
        <v>256500</v>
      </c>
      <c r="H6" s="88" t="s">
        <v>45</v>
      </c>
    </row>
    <row r="7" spans="1:7" ht="12.75">
      <c r="A7" s="88" t="s">
        <v>51</v>
      </c>
      <c r="B7" s="166">
        <v>30</v>
      </c>
      <c r="C7" s="109" t="s">
        <v>52</v>
      </c>
      <c r="G7" s="110"/>
    </row>
    <row r="8" spans="1:10" ht="12.75">
      <c r="A8" s="88" t="s">
        <v>6</v>
      </c>
      <c r="G8" s="103">
        <f>+G3*0.0125</f>
        <v>3375</v>
      </c>
      <c r="H8" s="111" t="s">
        <v>119</v>
      </c>
      <c r="J8" s="127"/>
    </row>
    <row r="9" spans="1:11" ht="12.75">
      <c r="A9" s="88" t="s">
        <v>7</v>
      </c>
      <c r="G9" s="103">
        <f>IF(G6,-PMT(C6/12,B7*12,G6),"")</f>
        <v>1456.3787884550613</v>
      </c>
      <c r="J9" s="172" t="s">
        <v>44</v>
      </c>
      <c r="K9" s="174"/>
    </row>
    <row r="10" spans="1:12" ht="12.75">
      <c r="A10" s="88" t="s">
        <v>8</v>
      </c>
      <c r="G10" s="103">
        <f>G8/12</f>
        <v>281.25</v>
      </c>
      <c r="J10" s="170" t="s">
        <v>33</v>
      </c>
      <c r="K10" s="168" t="s">
        <v>130</v>
      </c>
      <c r="L10" s="112"/>
    </row>
    <row r="11" spans="1:12" ht="12.75">
      <c r="A11" s="88" t="s">
        <v>129</v>
      </c>
      <c r="G11" s="103">
        <v>265</v>
      </c>
      <c r="J11" s="173">
        <f>+G9+G10+G11+E13</f>
        <v>2044.2987884550614</v>
      </c>
      <c r="K11" s="167" t="s">
        <v>101</v>
      </c>
      <c r="L11" s="175"/>
    </row>
    <row r="12" spans="1:5" ht="12.75" hidden="1">
      <c r="A12" s="108" t="s">
        <v>96</v>
      </c>
      <c r="B12" s="108"/>
      <c r="C12" s="108"/>
      <c r="D12" s="108"/>
      <c r="E12" s="113">
        <v>318</v>
      </c>
    </row>
    <row r="13" spans="1:9" ht="12.75" hidden="1">
      <c r="A13" s="108" t="s">
        <v>16</v>
      </c>
      <c r="B13" s="108"/>
      <c r="C13" s="108"/>
      <c r="D13" s="108"/>
      <c r="E13" s="113">
        <v>41.67</v>
      </c>
      <c r="H13" s="114">
        <f>+G9+G10+E12+E13</f>
        <v>2097.298788455061</v>
      </c>
      <c r="I13" s="115" t="s">
        <v>97</v>
      </c>
    </row>
    <row r="14" spans="1:11" ht="12.75" hidden="1">
      <c r="A14" s="108" t="s">
        <v>17</v>
      </c>
      <c r="B14" s="108"/>
      <c r="C14" s="108"/>
      <c r="D14" s="108"/>
      <c r="E14" s="113">
        <v>166.67</v>
      </c>
      <c r="H14" s="114">
        <f>+G9+G10+E12+E14</f>
        <v>2222.298788455061</v>
      </c>
      <c r="I14" s="115" t="s">
        <v>98</v>
      </c>
      <c r="K14" s="101"/>
    </row>
    <row r="15" spans="1:12" ht="12.75" hidden="1">
      <c r="A15" s="108" t="s">
        <v>18</v>
      </c>
      <c r="B15" s="108"/>
      <c r="C15" s="108"/>
      <c r="D15" s="108"/>
      <c r="E15" s="113">
        <v>333.33</v>
      </c>
      <c r="H15" s="116">
        <f>+G9+G10+E12+E15</f>
        <v>2388.958788455061</v>
      </c>
      <c r="I15" s="117" t="s">
        <v>99</v>
      </c>
      <c r="K15" s="101"/>
      <c r="L15" s="118"/>
    </row>
    <row r="16" spans="5:12" ht="12.75">
      <c r="E16" s="119"/>
      <c r="H16" s="120"/>
      <c r="I16" s="121"/>
      <c r="L16" s="118"/>
    </row>
    <row r="17" spans="5:12" ht="12.75">
      <c r="E17" s="119"/>
      <c r="H17" s="120"/>
      <c r="K17" s="122"/>
      <c r="L17" s="118"/>
    </row>
    <row r="18" spans="10:12" ht="12.75">
      <c r="J18" s="90" t="s">
        <v>122</v>
      </c>
      <c r="K18" s="90" t="s">
        <v>39</v>
      </c>
      <c r="L18" s="88" t="s">
        <v>94</v>
      </c>
    </row>
    <row r="19" spans="2:12" ht="12.75">
      <c r="B19" s="90" t="s">
        <v>35</v>
      </c>
      <c r="C19" s="108"/>
      <c r="D19" s="108"/>
      <c r="E19" s="108"/>
      <c r="F19" s="122" t="s">
        <v>42</v>
      </c>
      <c r="G19" s="123" t="s">
        <v>37</v>
      </c>
      <c r="H19" s="90" t="s">
        <v>38</v>
      </c>
      <c r="I19" s="90" t="s">
        <v>122</v>
      </c>
      <c r="J19" s="101" t="s">
        <v>41</v>
      </c>
      <c r="K19" s="122" t="s">
        <v>125</v>
      </c>
      <c r="L19" s="118">
        <v>0.25</v>
      </c>
    </row>
    <row r="20" spans="2:12" ht="12.75">
      <c r="B20" s="101" t="s">
        <v>11</v>
      </c>
      <c r="C20" s="123" t="s">
        <v>36</v>
      </c>
      <c r="D20" s="123" t="s">
        <v>37</v>
      </c>
      <c r="E20" s="123" t="s">
        <v>38</v>
      </c>
      <c r="F20" s="123" t="s">
        <v>43</v>
      </c>
      <c r="G20" s="122" t="s">
        <v>12</v>
      </c>
      <c r="H20" s="101" t="s">
        <v>26</v>
      </c>
      <c r="I20" s="101" t="s">
        <v>34</v>
      </c>
      <c r="J20" s="101" t="s">
        <v>24</v>
      </c>
      <c r="K20" s="124" t="s">
        <v>29</v>
      </c>
      <c r="L20" s="88" t="s">
        <v>93</v>
      </c>
    </row>
    <row r="21" spans="2:12" ht="12.75">
      <c r="B21" s="101" t="s">
        <v>12</v>
      </c>
      <c r="C21" s="122" t="s">
        <v>9</v>
      </c>
      <c r="D21" s="122" t="s">
        <v>9</v>
      </c>
      <c r="E21" s="122" t="s">
        <v>9</v>
      </c>
      <c r="F21" s="122" t="s">
        <v>19</v>
      </c>
      <c r="G21" s="101" t="s">
        <v>19</v>
      </c>
      <c r="H21" s="88" t="s">
        <v>27</v>
      </c>
      <c r="I21" s="101" t="s">
        <v>21</v>
      </c>
      <c r="J21" s="101" t="s">
        <v>21</v>
      </c>
      <c r="K21" s="124" t="s">
        <v>110</v>
      </c>
      <c r="L21" s="101" t="s">
        <v>48</v>
      </c>
    </row>
    <row r="22" spans="2:12" ht="12.75">
      <c r="B22" s="101" t="s">
        <v>0</v>
      </c>
      <c r="C22" s="122" t="s">
        <v>3</v>
      </c>
      <c r="D22" s="125" t="s">
        <v>5</v>
      </c>
      <c r="E22" s="122" t="s">
        <v>14</v>
      </c>
      <c r="F22" s="122" t="s">
        <v>9</v>
      </c>
      <c r="G22" s="101" t="s">
        <v>9</v>
      </c>
      <c r="H22" s="88" t="s">
        <v>28</v>
      </c>
      <c r="I22" s="101" t="s">
        <v>22</v>
      </c>
      <c r="J22" s="101" t="s">
        <v>22</v>
      </c>
      <c r="K22" s="124" t="s">
        <v>111</v>
      </c>
      <c r="L22" s="101" t="s">
        <v>49</v>
      </c>
    </row>
    <row r="23" spans="1:12" ht="12.75">
      <c r="A23" s="102" t="s">
        <v>13</v>
      </c>
      <c r="B23" s="102" t="s">
        <v>1</v>
      </c>
      <c r="C23" s="126" t="s">
        <v>4</v>
      </c>
      <c r="D23" s="126" t="s">
        <v>32</v>
      </c>
      <c r="E23" s="126" t="s">
        <v>15</v>
      </c>
      <c r="F23" s="126" t="s">
        <v>33</v>
      </c>
      <c r="G23" s="102" t="s">
        <v>47</v>
      </c>
      <c r="H23" s="127" t="s">
        <v>30</v>
      </c>
      <c r="I23" s="102" t="s">
        <v>23</v>
      </c>
      <c r="J23" s="102" t="s">
        <v>25</v>
      </c>
      <c r="K23" s="128" t="s">
        <v>112</v>
      </c>
      <c r="L23" s="102" t="s">
        <v>50</v>
      </c>
    </row>
    <row r="24" spans="1:12" ht="12.75">
      <c r="A24" s="88">
        <v>1</v>
      </c>
      <c r="B24" s="103">
        <f>+G9*12</f>
        <v>17476.545461460737</v>
      </c>
      <c r="C24" s="113">
        <f>(+G10*12)</f>
        <v>3375</v>
      </c>
      <c r="D24" s="113">
        <f>+G11*12</f>
        <v>3180</v>
      </c>
      <c r="E24" s="113">
        <f>+E13*12</f>
        <v>500.04</v>
      </c>
      <c r="F24" s="129">
        <f>SUM(B24:E24)</f>
        <v>24531.585461460738</v>
      </c>
      <c r="G24" s="104">
        <f>'DataCalculations-Non Cal Poly'!I23</f>
        <v>14021.27</v>
      </c>
      <c r="H24" s="130">
        <f>'DataCalculations-Non Cal Poly'!J23</f>
        <v>253044.71</v>
      </c>
      <c r="I24" s="103">
        <f>+G5*1.05</f>
        <v>0</v>
      </c>
      <c r="J24" s="103">
        <f>+G3*1.02</f>
        <v>275400</v>
      </c>
      <c r="K24" s="131">
        <f aca="true" t="shared" si="0" ref="K24:K53">+J24-H24-I24</f>
        <v>22355.290000000008</v>
      </c>
      <c r="L24" s="103">
        <f aca="true" t="shared" si="1" ref="L24:L53">(G24+C24)*0.25</f>
        <v>4349.0675</v>
      </c>
    </row>
    <row r="25" spans="1:12" ht="12.75">
      <c r="A25" s="88">
        <f aca="true" t="shared" si="2" ref="A25:A53">+A24+1</f>
        <v>2</v>
      </c>
      <c r="B25" s="103">
        <f aca="true" t="shared" si="3" ref="B25:B53">+B24</f>
        <v>17476.545461460737</v>
      </c>
      <c r="C25" s="113">
        <f aca="true" t="shared" si="4" ref="C25:C53">C24*1.02</f>
        <v>3442.5</v>
      </c>
      <c r="D25" s="113">
        <f>+D24</f>
        <v>3180</v>
      </c>
      <c r="E25" s="113">
        <f>+E24</f>
        <v>500.04</v>
      </c>
      <c r="F25" s="132">
        <f aca="true" t="shared" si="5" ref="F25:F53">SUM(B25:E25)</f>
        <v>24599.085461460738</v>
      </c>
      <c r="G25" s="104">
        <f>'DataCalculations-Non Cal Poly'!F27</f>
        <v>13826.583318038294</v>
      </c>
      <c r="H25" s="130">
        <f>'DataCalculations-Non Cal Poly'!I27</f>
        <v>249394.73331803828</v>
      </c>
      <c r="I25" s="103">
        <f aca="true" t="shared" si="6" ref="I25:I53">+I24*1.05</f>
        <v>0</v>
      </c>
      <c r="J25" s="103">
        <f aca="true" t="shared" si="7" ref="J25:J53">+J24*1.02</f>
        <v>280908</v>
      </c>
      <c r="K25" s="131">
        <f t="shared" si="0"/>
        <v>31513.266681961715</v>
      </c>
      <c r="L25" s="103">
        <f t="shared" si="1"/>
        <v>4317.270829509574</v>
      </c>
    </row>
    <row r="26" spans="1:12" ht="12.75">
      <c r="A26" s="88">
        <f t="shared" si="2"/>
        <v>3</v>
      </c>
      <c r="B26" s="103">
        <f t="shared" si="3"/>
        <v>17476.545461460737</v>
      </c>
      <c r="C26" s="113">
        <f t="shared" si="4"/>
        <v>3511.35</v>
      </c>
      <c r="D26" s="113">
        <f>+D25</f>
        <v>3180</v>
      </c>
      <c r="E26" s="113">
        <f>+E25</f>
        <v>500.04</v>
      </c>
      <c r="F26" s="132">
        <f t="shared" si="5"/>
        <v>24667.935461460736</v>
      </c>
      <c r="G26" s="104">
        <f>'DataCalculations-Non Cal Poly'!F28</f>
        <v>13620.467725174767</v>
      </c>
      <c r="H26" s="130">
        <f>'DataCalculations-Non Cal Poly'!I28</f>
        <v>245538.64104321305</v>
      </c>
      <c r="I26" s="103">
        <f t="shared" si="6"/>
        <v>0</v>
      </c>
      <c r="J26" s="103">
        <f t="shared" si="7"/>
        <v>286526.16000000003</v>
      </c>
      <c r="K26" s="131">
        <f t="shared" si="0"/>
        <v>40987.51895678698</v>
      </c>
      <c r="L26" s="103">
        <f t="shared" si="1"/>
        <v>4282.954431293691</v>
      </c>
    </row>
    <row r="27" spans="1:12" ht="12.75">
      <c r="A27" s="88">
        <f t="shared" si="2"/>
        <v>4</v>
      </c>
      <c r="B27" s="103">
        <f t="shared" si="3"/>
        <v>17476.545461460737</v>
      </c>
      <c r="C27" s="113">
        <f t="shared" si="4"/>
        <v>3581.5769999999998</v>
      </c>
      <c r="D27" s="113">
        <f>+E12*12</f>
        <v>3816</v>
      </c>
      <c r="E27" s="113">
        <f>+E26</f>
        <v>500.04</v>
      </c>
      <c r="F27" s="132">
        <f t="shared" si="5"/>
        <v>25374.16246146074</v>
      </c>
      <c r="G27" s="104">
        <f>'DataCalculations-Non Cal Poly'!F29</f>
        <v>13402.953810502662</v>
      </c>
      <c r="H27" s="130">
        <f>'DataCalculations-Non Cal Poly'!I29</f>
        <v>241465.0348537157</v>
      </c>
      <c r="I27" s="103">
        <f t="shared" si="6"/>
        <v>0</v>
      </c>
      <c r="J27" s="103">
        <f t="shared" si="7"/>
        <v>292256.6832</v>
      </c>
      <c r="K27" s="131">
        <f t="shared" si="0"/>
        <v>50791.64834628432</v>
      </c>
      <c r="L27" s="103">
        <f t="shared" si="1"/>
        <v>4246.132702625666</v>
      </c>
    </row>
    <row r="28" spans="1:12" ht="12.75">
      <c r="A28" s="88">
        <f t="shared" si="2"/>
        <v>5</v>
      </c>
      <c r="B28" s="103">
        <f t="shared" si="3"/>
        <v>17476.545461460737</v>
      </c>
      <c r="C28" s="113">
        <f t="shared" si="4"/>
        <v>3653.2085399999996</v>
      </c>
      <c r="D28" s="113">
        <f aca="true" t="shared" si="8" ref="D28:D53">+D27</f>
        <v>3816</v>
      </c>
      <c r="E28" s="113">
        <f>+E27</f>
        <v>500.04</v>
      </c>
      <c r="F28" s="132">
        <f t="shared" si="5"/>
        <v>25445.794001460737</v>
      </c>
      <c r="G28" s="104">
        <f>'DataCalculations-Non Cal Poly'!F30</f>
        <v>13173.17040129987</v>
      </c>
      <c r="H28" s="130">
        <f>'DataCalculations-Non Cal Poly'!I30</f>
        <v>237161.64525501558</v>
      </c>
      <c r="I28" s="103">
        <f t="shared" si="6"/>
        <v>0</v>
      </c>
      <c r="J28" s="103">
        <f t="shared" si="7"/>
        <v>298101.81686400005</v>
      </c>
      <c r="K28" s="131">
        <f t="shared" si="0"/>
        <v>60940.17160898447</v>
      </c>
      <c r="L28" s="103">
        <f t="shared" si="1"/>
        <v>4206.594735324968</v>
      </c>
    </row>
    <row r="29" spans="1:12" ht="12.75">
      <c r="A29" s="88">
        <f t="shared" si="2"/>
        <v>6</v>
      </c>
      <c r="B29" s="103">
        <f t="shared" si="3"/>
        <v>17476.545461460737</v>
      </c>
      <c r="C29" s="113">
        <f t="shared" si="4"/>
        <v>3726.2727108</v>
      </c>
      <c r="D29" s="113">
        <f t="shared" si="8"/>
        <v>3816</v>
      </c>
      <c r="E29" s="113">
        <f>+E14*12</f>
        <v>2000.04</v>
      </c>
      <c r="F29" s="132">
        <f t="shared" si="5"/>
        <v>27018.858172260738</v>
      </c>
      <c r="G29" s="104">
        <f>'DataCalculations-Non Cal Poly'!F31</f>
        <v>12930.425401631834</v>
      </c>
      <c r="H29" s="130">
        <f>'DataCalculations-Non Cal Poly'!I31</f>
        <v>232615.5106566474</v>
      </c>
      <c r="I29" s="103">
        <f t="shared" si="6"/>
        <v>0</v>
      </c>
      <c r="J29" s="103">
        <f t="shared" si="7"/>
        <v>304063.85320128006</v>
      </c>
      <c r="K29" s="131">
        <f t="shared" si="0"/>
        <v>71448.34254463264</v>
      </c>
      <c r="L29" s="103">
        <f t="shared" si="1"/>
        <v>4164.174528107958</v>
      </c>
    </row>
    <row r="30" spans="1:12" ht="12.75">
      <c r="A30" s="88">
        <f t="shared" si="2"/>
        <v>7</v>
      </c>
      <c r="B30" s="103">
        <f t="shared" si="3"/>
        <v>17476.545461460737</v>
      </c>
      <c r="C30" s="113">
        <f t="shared" si="4"/>
        <v>3800.798165016</v>
      </c>
      <c r="D30" s="113">
        <f t="shared" si="8"/>
        <v>3816</v>
      </c>
      <c r="E30" s="113">
        <f>+E29</f>
        <v>2000.04</v>
      </c>
      <c r="F30" s="132">
        <f t="shared" si="5"/>
        <v>27093.383626476738</v>
      </c>
      <c r="G30" s="104">
        <f>'DataCalculations-Non Cal Poly'!F32</f>
        <v>12673.987675913206</v>
      </c>
      <c r="H30" s="130">
        <f>'DataCalculations-Non Cal Poly'!I32</f>
        <v>227812.93833256062</v>
      </c>
      <c r="I30" s="103">
        <f t="shared" si="6"/>
        <v>0</v>
      </c>
      <c r="J30" s="103">
        <f t="shared" si="7"/>
        <v>310145.1302653057</v>
      </c>
      <c r="K30" s="131">
        <f t="shared" si="0"/>
        <v>82332.19193274507</v>
      </c>
      <c r="L30" s="103">
        <f t="shared" si="1"/>
        <v>4118.696460232301</v>
      </c>
    </row>
    <row r="31" spans="1:12" ht="12.75">
      <c r="A31" s="88">
        <f t="shared" si="2"/>
        <v>8</v>
      </c>
      <c r="B31" s="103">
        <f t="shared" si="3"/>
        <v>17476.545461460737</v>
      </c>
      <c r="C31" s="113">
        <f t="shared" si="4"/>
        <v>3876.81412831632</v>
      </c>
      <c r="D31" s="113">
        <f t="shared" si="8"/>
        <v>3816</v>
      </c>
      <c r="E31" s="113">
        <f>+E30</f>
        <v>2000.04</v>
      </c>
      <c r="F31" s="132">
        <f t="shared" si="5"/>
        <v>27169.39958977706</v>
      </c>
      <c r="G31" s="104">
        <f>'DataCalculations-Non Cal Poly'!F33</f>
        <v>12403.08484676472</v>
      </c>
      <c r="H31" s="130">
        <f>'DataCalculations-Non Cal Poly'!I33</f>
        <v>222739.46317932534</v>
      </c>
      <c r="I31" s="103">
        <f t="shared" si="6"/>
        <v>0</v>
      </c>
      <c r="J31" s="103">
        <f t="shared" si="7"/>
        <v>316348.0328706118</v>
      </c>
      <c r="K31" s="131">
        <f t="shared" si="0"/>
        <v>93608.56969128648</v>
      </c>
      <c r="L31" s="103">
        <f t="shared" si="1"/>
        <v>4069.97474377026</v>
      </c>
    </row>
    <row r="32" spans="1:12" ht="12.75">
      <c r="A32" s="88">
        <f t="shared" si="2"/>
        <v>9</v>
      </c>
      <c r="B32" s="103">
        <f t="shared" si="3"/>
        <v>17476.545461460737</v>
      </c>
      <c r="C32" s="113">
        <f t="shared" si="4"/>
        <v>3954.3504108826464</v>
      </c>
      <c r="D32" s="113">
        <f t="shared" si="8"/>
        <v>3816</v>
      </c>
      <c r="E32" s="113">
        <f>+E15*12</f>
        <v>3999.96</v>
      </c>
      <c r="F32" s="132">
        <f t="shared" si="5"/>
        <v>29246.85587234338</v>
      </c>
      <c r="G32" s="104">
        <f>'DataCalculations-Non Cal Poly'!F34</f>
        <v>12116.900968651553</v>
      </c>
      <c r="H32" s="130">
        <f>'DataCalculations-Non Cal Poly'!I34</f>
        <v>217379.8041479769</v>
      </c>
      <c r="I32" s="103">
        <f t="shared" si="6"/>
        <v>0</v>
      </c>
      <c r="J32" s="103">
        <f t="shared" si="7"/>
        <v>322674.99352802406</v>
      </c>
      <c r="K32" s="131">
        <f t="shared" si="0"/>
        <v>105295.18938004717</v>
      </c>
      <c r="L32" s="103">
        <f t="shared" si="1"/>
        <v>4017.8128448835496</v>
      </c>
    </row>
    <row r="33" spans="1:12" ht="12.75">
      <c r="A33" s="88">
        <f t="shared" si="2"/>
        <v>10</v>
      </c>
      <c r="B33" s="103">
        <f t="shared" si="3"/>
        <v>17476.545461460737</v>
      </c>
      <c r="C33" s="113">
        <f t="shared" si="4"/>
        <v>4033.4374191002994</v>
      </c>
      <c r="D33" s="113">
        <f t="shared" si="8"/>
        <v>3816</v>
      </c>
      <c r="E33" s="113">
        <f aca="true" t="shared" si="9" ref="E33:E53">+E32</f>
        <v>3999.96</v>
      </c>
      <c r="F33" s="132">
        <f t="shared" si="5"/>
        <v>29325.942880561037</v>
      </c>
      <c r="G33" s="104">
        <f>'DataCalculations-Non Cal Poly'!F35</f>
        <v>11814.574070297098</v>
      </c>
      <c r="H33" s="130">
        <f>'DataCalculations-Non Cal Poly'!I35</f>
        <v>211717.81821827398</v>
      </c>
      <c r="I33" s="103">
        <f t="shared" si="6"/>
        <v>0</v>
      </c>
      <c r="J33" s="103">
        <f t="shared" si="7"/>
        <v>329128.49339858454</v>
      </c>
      <c r="K33" s="131">
        <f t="shared" si="0"/>
        <v>117410.67518031056</v>
      </c>
      <c r="L33" s="103">
        <f t="shared" si="1"/>
        <v>3962.002872349349</v>
      </c>
    </row>
    <row r="34" spans="1:12" ht="12.75">
      <c r="A34" s="88">
        <f t="shared" si="2"/>
        <v>11</v>
      </c>
      <c r="B34" s="103">
        <f t="shared" si="3"/>
        <v>17476.545461460737</v>
      </c>
      <c r="C34" s="113">
        <f t="shared" si="4"/>
        <v>4114.106167482306</v>
      </c>
      <c r="D34" s="113">
        <f t="shared" si="8"/>
        <v>3816</v>
      </c>
      <c r="E34" s="113">
        <f t="shared" si="9"/>
        <v>3999.96</v>
      </c>
      <c r="F34" s="132">
        <f t="shared" si="5"/>
        <v>29406.611628943043</v>
      </c>
      <c r="G34" s="104">
        <f>'DataCalculations-Non Cal Poly'!F36</f>
        <v>11495.193558469622</v>
      </c>
      <c r="H34" s="130">
        <f>'DataCalculations-Non Cal Poly'!I36</f>
        <v>205736.4517767436</v>
      </c>
      <c r="I34" s="103">
        <f t="shared" si="6"/>
        <v>0</v>
      </c>
      <c r="J34" s="103">
        <f t="shared" si="7"/>
        <v>335711.06326655624</v>
      </c>
      <c r="K34" s="131">
        <f t="shared" si="0"/>
        <v>129974.61148981264</v>
      </c>
      <c r="L34" s="103">
        <f t="shared" si="1"/>
        <v>3902.324931487982</v>
      </c>
    </row>
    <row r="35" spans="1:12" ht="12.75">
      <c r="A35" s="88">
        <f t="shared" si="2"/>
        <v>12</v>
      </c>
      <c r="B35" s="103">
        <f t="shared" si="3"/>
        <v>17476.545461460737</v>
      </c>
      <c r="C35" s="113">
        <f t="shared" si="4"/>
        <v>4196.388290831952</v>
      </c>
      <c r="D35" s="113">
        <f t="shared" si="8"/>
        <v>3816</v>
      </c>
      <c r="E35" s="113">
        <f t="shared" si="9"/>
        <v>3999.96</v>
      </c>
      <c r="F35" s="132">
        <f t="shared" si="5"/>
        <v>29488.893752292686</v>
      </c>
      <c r="G35" s="104">
        <f>'DataCalculations-Non Cal Poly'!F37</f>
        <v>11157.797475321018</v>
      </c>
      <c r="H35" s="130">
        <f>'DataCalculations-Non Cal Poly'!I37</f>
        <v>199417.68925206462</v>
      </c>
      <c r="I35" s="103">
        <f t="shared" si="6"/>
        <v>0</v>
      </c>
      <c r="J35" s="103">
        <f t="shared" si="7"/>
        <v>342425.2845318874</v>
      </c>
      <c r="K35" s="131">
        <f t="shared" si="0"/>
        <v>143007.59527982277</v>
      </c>
      <c r="L35" s="103">
        <f t="shared" si="1"/>
        <v>3838.5464415382426</v>
      </c>
    </row>
    <row r="36" spans="1:12" ht="12.75">
      <c r="A36" s="88">
        <f t="shared" si="2"/>
        <v>13</v>
      </c>
      <c r="B36" s="103">
        <f t="shared" si="3"/>
        <v>17476.545461460737</v>
      </c>
      <c r="C36" s="113">
        <f t="shared" si="4"/>
        <v>4280.316056648591</v>
      </c>
      <c r="D36" s="113">
        <f t="shared" si="8"/>
        <v>3816</v>
      </c>
      <c r="E36" s="113">
        <f t="shared" si="9"/>
        <v>3999.96</v>
      </c>
      <c r="F36" s="132">
        <f t="shared" si="5"/>
        <v>29572.821518109326</v>
      </c>
      <c r="G36" s="104">
        <f>'DataCalculations-Non Cal Poly'!F38</f>
        <v>10801.369601019574</v>
      </c>
      <c r="H36" s="130">
        <f>'DataCalculations-Non Cal Poly'!I38</f>
        <v>192742.4988530842</v>
      </c>
      <c r="I36" s="103">
        <f t="shared" si="6"/>
        <v>0</v>
      </c>
      <c r="J36" s="103">
        <f t="shared" si="7"/>
        <v>349273.79022252513</v>
      </c>
      <c r="K36" s="131">
        <f t="shared" si="0"/>
        <v>156531.29136944094</v>
      </c>
      <c r="L36" s="103">
        <f t="shared" si="1"/>
        <v>3770.4214144170414</v>
      </c>
    </row>
    <row r="37" spans="1:12" ht="12.75">
      <c r="A37" s="88">
        <f t="shared" si="2"/>
        <v>14</v>
      </c>
      <c r="B37" s="103">
        <f t="shared" si="3"/>
        <v>17476.545461460737</v>
      </c>
      <c r="C37" s="113">
        <f t="shared" si="4"/>
        <v>4365.922377781563</v>
      </c>
      <c r="D37" s="113">
        <f t="shared" si="8"/>
        <v>3816</v>
      </c>
      <c r="E37" s="113">
        <f t="shared" si="9"/>
        <v>3999.96</v>
      </c>
      <c r="F37" s="132">
        <f t="shared" si="5"/>
        <v>29658.4278392423</v>
      </c>
      <c r="G37" s="104">
        <f>'DataCalculations-Non Cal Poly'!F39</f>
        <v>10424.83639294704</v>
      </c>
      <c r="H37" s="130">
        <f>'DataCalculations-Non Cal Poly'!I39</f>
        <v>185690.77524603123</v>
      </c>
      <c r="I37" s="103">
        <f t="shared" si="6"/>
        <v>0</v>
      </c>
      <c r="J37" s="103">
        <f t="shared" si="7"/>
        <v>356259.26602697565</v>
      </c>
      <c r="K37" s="131">
        <f t="shared" si="0"/>
        <v>170568.4907809444</v>
      </c>
      <c r="L37" s="103">
        <f t="shared" si="1"/>
        <v>3697.689692682151</v>
      </c>
    </row>
    <row r="38" spans="1:12" ht="12.75">
      <c r="A38" s="88">
        <f t="shared" si="2"/>
        <v>15</v>
      </c>
      <c r="B38" s="103">
        <f t="shared" si="3"/>
        <v>17476.545461460737</v>
      </c>
      <c r="C38" s="113">
        <f t="shared" si="4"/>
        <v>4453.240825337195</v>
      </c>
      <c r="D38" s="113">
        <f t="shared" si="8"/>
        <v>3816</v>
      </c>
      <c r="E38" s="113">
        <f t="shared" si="9"/>
        <v>3999.96</v>
      </c>
      <c r="F38" s="132">
        <f t="shared" si="5"/>
        <v>29745.74628679793</v>
      </c>
      <c r="G38" s="104">
        <f>'DataCalculations-Non Cal Poly'!F40</f>
        <v>10027.063752242979</v>
      </c>
      <c r="H38" s="130">
        <f>'DataCalculations-Non Cal Poly'!I40</f>
        <v>178241.2789982742</v>
      </c>
      <c r="I38" s="103">
        <f t="shared" si="6"/>
        <v>0</v>
      </c>
      <c r="J38" s="103">
        <f t="shared" si="7"/>
        <v>363384.45134751516</v>
      </c>
      <c r="K38" s="131">
        <f t="shared" si="0"/>
        <v>185143.17234924095</v>
      </c>
      <c r="L38" s="103">
        <f t="shared" si="1"/>
        <v>3620.0761443950432</v>
      </c>
    </row>
    <row r="39" spans="1:12" ht="12.75">
      <c r="A39" s="88">
        <f t="shared" si="2"/>
        <v>16</v>
      </c>
      <c r="B39" s="103">
        <f t="shared" si="3"/>
        <v>17476.545461460737</v>
      </c>
      <c r="C39" s="113">
        <f t="shared" si="4"/>
        <v>4542.305641843939</v>
      </c>
      <c r="D39" s="113">
        <f t="shared" si="8"/>
        <v>3816</v>
      </c>
      <c r="E39" s="113">
        <f t="shared" si="9"/>
        <v>3999.96</v>
      </c>
      <c r="F39" s="132">
        <f t="shared" si="5"/>
        <v>29834.811103304673</v>
      </c>
      <c r="G39" s="104">
        <f>'DataCalculations-Non Cal Poly'!F41</f>
        <v>9606.853607956964</v>
      </c>
      <c r="H39" s="130">
        <f>'DataCalculations-Non Cal Poly'!I41</f>
        <v>170371.57260623117</v>
      </c>
      <c r="I39" s="103">
        <f t="shared" si="6"/>
        <v>0</v>
      </c>
      <c r="J39" s="103">
        <f t="shared" si="7"/>
        <v>370652.1403744655</v>
      </c>
      <c r="K39" s="131">
        <f t="shared" si="0"/>
        <v>200280.56776823432</v>
      </c>
      <c r="L39" s="103">
        <f t="shared" si="1"/>
        <v>3537.289812450226</v>
      </c>
    </row>
    <row r="40" spans="1:12" ht="12.75">
      <c r="A40" s="88">
        <f t="shared" si="2"/>
        <v>17</v>
      </c>
      <c r="B40" s="103">
        <f t="shared" si="3"/>
        <v>17476.545461460737</v>
      </c>
      <c r="C40" s="113">
        <f t="shared" si="4"/>
        <v>4633.151754680818</v>
      </c>
      <c r="D40" s="113">
        <f t="shared" si="8"/>
        <v>3816</v>
      </c>
      <c r="E40" s="113">
        <f t="shared" si="9"/>
        <v>3999.96</v>
      </c>
      <c r="F40" s="132">
        <f t="shared" si="5"/>
        <v>29925.657216141553</v>
      </c>
      <c r="G40" s="104">
        <f>'DataCalculations-Non Cal Poly'!F42</f>
        <v>9162.94030851941</v>
      </c>
      <c r="H40" s="130">
        <f>'DataCalculations-Non Cal Poly'!I42</f>
        <v>162057.95291475058</v>
      </c>
      <c r="I40" s="103">
        <f t="shared" si="6"/>
        <v>0</v>
      </c>
      <c r="J40" s="103">
        <f t="shared" si="7"/>
        <v>378065.18318195484</v>
      </c>
      <c r="K40" s="131">
        <f t="shared" si="0"/>
        <v>216007.23026720426</v>
      </c>
      <c r="L40" s="103">
        <f t="shared" si="1"/>
        <v>3449.023015800057</v>
      </c>
    </row>
    <row r="41" spans="1:12" ht="12.75">
      <c r="A41" s="88">
        <f t="shared" si="2"/>
        <v>18</v>
      </c>
      <c r="B41" s="103">
        <f t="shared" si="3"/>
        <v>17476.545461460737</v>
      </c>
      <c r="C41" s="113">
        <f t="shared" si="4"/>
        <v>4725.814789774435</v>
      </c>
      <c r="D41" s="113">
        <f t="shared" si="8"/>
        <v>3816</v>
      </c>
      <c r="E41" s="113">
        <f t="shared" si="9"/>
        <v>3999.96</v>
      </c>
      <c r="F41" s="132">
        <f t="shared" si="5"/>
        <v>30018.32025123517</v>
      </c>
      <c r="G41" s="104">
        <f>'DataCalculations-Non Cal Poly'!F43</f>
        <v>8693.986809663973</v>
      </c>
      <c r="H41" s="130">
        <f>'DataCalculations-Non Cal Poly'!I43</f>
        <v>153275.37972441455</v>
      </c>
      <c r="I41" s="103">
        <f t="shared" si="6"/>
        <v>0</v>
      </c>
      <c r="J41" s="103">
        <f t="shared" si="7"/>
        <v>385626.48684559396</v>
      </c>
      <c r="K41" s="131">
        <f t="shared" si="0"/>
        <v>232351.1071211794</v>
      </c>
      <c r="L41" s="103">
        <f t="shared" si="1"/>
        <v>3354.950399859602</v>
      </c>
    </row>
    <row r="42" spans="1:12" ht="12.75">
      <c r="A42" s="88">
        <f t="shared" si="2"/>
        <v>19</v>
      </c>
      <c r="B42" s="103">
        <f t="shared" si="3"/>
        <v>17476.545461460737</v>
      </c>
      <c r="C42" s="113">
        <f t="shared" si="4"/>
        <v>4820.331085569924</v>
      </c>
      <c r="D42" s="113">
        <f t="shared" si="8"/>
        <v>3816</v>
      </c>
      <c r="E42" s="113">
        <f t="shared" si="9"/>
        <v>3999.96</v>
      </c>
      <c r="F42" s="132">
        <f t="shared" si="5"/>
        <v>30112.83654703066</v>
      </c>
      <c r="G42" s="104">
        <f>'DataCalculations-Non Cal Poly'!F44</f>
        <v>8198.580647317696</v>
      </c>
      <c r="H42" s="130">
        <f>'DataCalculations-Non Cal Poly'!I44</f>
        <v>143997.40037173225</v>
      </c>
      <c r="I42" s="103">
        <f t="shared" si="6"/>
        <v>0</v>
      </c>
      <c r="J42" s="103">
        <f t="shared" si="7"/>
        <v>393339.01658250584</v>
      </c>
      <c r="K42" s="131">
        <f t="shared" si="0"/>
        <v>249341.6162107736</v>
      </c>
      <c r="L42" s="103">
        <f t="shared" si="1"/>
        <v>3254.727933221905</v>
      </c>
    </row>
    <row r="43" spans="1:12" ht="12.75">
      <c r="A43" s="88">
        <f t="shared" si="2"/>
        <v>20</v>
      </c>
      <c r="B43" s="103">
        <f t="shared" si="3"/>
        <v>17476.545461460737</v>
      </c>
      <c r="C43" s="113">
        <f t="shared" si="4"/>
        <v>4916.737707281322</v>
      </c>
      <c r="D43" s="113">
        <f t="shared" si="8"/>
        <v>3816</v>
      </c>
      <c r="E43" s="113">
        <f t="shared" si="9"/>
        <v>3999.96</v>
      </c>
      <c r="F43" s="132">
        <f t="shared" si="5"/>
        <v>30209.243168742058</v>
      </c>
      <c r="G43" s="104">
        <f>'DataCalculations-Non Cal Poly'!F45</f>
        <v>7675.2296833317705</v>
      </c>
      <c r="H43" s="130">
        <f>'DataCalculations-Non Cal Poly'!I45</f>
        <v>134196.07005506402</v>
      </c>
      <c r="I43" s="103">
        <f t="shared" si="6"/>
        <v>0</v>
      </c>
      <c r="J43" s="103">
        <f t="shared" si="7"/>
        <v>401205.79691415594</v>
      </c>
      <c r="K43" s="131">
        <f t="shared" si="0"/>
        <v>267009.7268590919</v>
      </c>
      <c r="L43" s="103">
        <f t="shared" si="1"/>
        <v>3147.991847653273</v>
      </c>
    </row>
    <row r="44" spans="1:12" ht="12.75">
      <c r="A44" s="88">
        <f t="shared" si="2"/>
        <v>21</v>
      </c>
      <c r="B44" s="103">
        <f t="shared" si="3"/>
        <v>17476.545461460737</v>
      </c>
      <c r="C44" s="113">
        <f t="shared" si="4"/>
        <v>5015.072461426949</v>
      </c>
      <c r="D44" s="113">
        <f t="shared" si="8"/>
        <v>3816</v>
      </c>
      <c r="E44" s="113">
        <f t="shared" si="9"/>
        <v>3999.96</v>
      </c>
      <c r="F44" s="132">
        <f t="shared" si="5"/>
        <v>30307.577922887685</v>
      </c>
      <c r="G44" s="104">
        <f>'DataCalculations-Non Cal Poly'!F46</f>
        <v>7122.357611236603</v>
      </c>
      <c r="H44" s="130">
        <f>'DataCalculations-Non Cal Poly'!I46</f>
        <v>123841.86766630062</v>
      </c>
      <c r="I44" s="103">
        <f t="shared" si="6"/>
        <v>0</v>
      </c>
      <c r="J44" s="103">
        <f t="shared" si="7"/>
        <v>409229.9128524391</v>
      </c>
      <c r="K44" s="131">
        <f t="shared" si="0"/>
        <v>285388.0451861385</v>
      </c>
      <c r="L44" s="103">
        <f t="shared" si="1"/>
        <v>3034.357518165888</v>
      </c>
    </row>
    <row r="45" spans="1:12" ht="12.75">
      <c r="A45" s="88">
        <f t="shared" si="2"/>
        <v>22</v>
      </c>
      <c r="B45" s="103">
        <f t="shared" si="3"/>
        <v>17476.545461460737</v>
      </c>
      <c r="C45" s="113">
        <f t="shared" si="4"/>
        <v>5115.3739106554885</v>
      </c>
      <c r="D45" s="113">
        <f t="shared" si="8"/>
        <v>3816</v>
      </c>
      <c r="E45" s="113">
        <f t="shared" si="9"/>
        <v>3999.96</v>
      </c>
      <c r="F45" s="132">
        <f t="shared" si="5"/>
        <v>30407.879372116226</v>
      </c>
      <c r="G45" s="104">
        <f>'DataCalculations-Non Cal Poly'!F47</f>
        <v>6538.299208487693</v>
      </c>
      <c r="H45" s="130">
        <f>'DataCalculations-Non Cal Poly'!I47</f>
        <v>112903.60687478831</v>
      </c>
      <c r="I45" s="103">
        <f t="shared" si="6"/>
        <v>0</v>
      </c>
      <c r="J45" s="103">
        <f t="shared" si="7"/>
        <v>417414.5111094879</v>
      </c>
      <c r="K45" s="131">
        <f t="shared" si="0"/>
        <v>304510.9042346996</v>
      </c>
      <c r="L45" s="103">
        <f t="shared" si="1"/>
        <v>2913.4182797857957</v>
      </c>
    </row>
    <row r="46" spans="1:12" ht="12.75">
      <c r="A46" s="88">
        <f t="shared" si="2"/>
        <v>23</v>
      </c>
      <c r="B46" s="103">
        <f t="shared" si="3"/>
        <v>17476.545461460737</v>
      </c>
      <c r="C46" s="113">
        <f t="shared" si="4"/>
        <v>5217.681388868598</v>
      </c>
      <c r="D46" s="113">
        <f t="shared" si="8"/>
        <v>3816</v>
      </c>
      <c r="E46" s="113">
        <f t="shared" si="9"/>
        <v>3999.96</v>
      </c>
      <c r="F46" s="132">
        <f t="shared" si="5"/>
        <v>30510.186850329334</v>
      </c>
      <c r="G46" s="104">
        <f>'DataCalculations-Non Cal Poly'!F48</f>
        <v>5921.295320899433</v>
      </c>
      <c r="H46" s="130">
        <f>'DataCalculations-Non Cal Poly'!I48</f>
        <v>101348.34219568774</v>
      </c>
      <c r="I46" s="103">
        <f t="shared" si="6"/>
        <v>0</v>
      </c>
      <c r="J46" s="103">
        <f t="shared" si="7"/>
        <v>425762.80133167765</v>
      </c>
      <c r="K46" s="131">
        <f t="shared" si="0"/>
        <v>324414.4591359899</v>
      </c>
      <c r="L46" s="103">
        <f t="shared" si="1"/>
        <v>2784.7441774420076</v>
      </c>
    </row>
    <row r="47" spans="1:12" ht="12.75">
      <c r="A47" s="88">
        <f t="shared" si="2"/>
        <v>24</v>
      </c>
      <c r="B47" s="103">
        <f t="shared" si="3"/>
        <v>17476.545461460737</v>
      </c>
      <c r="C47" s="113">
        <f t="shared" si="4"/>
        <v>5322.03501664597</v>
      </c>
      <c r="D47" s="113">
        <f t="shared" si="8"/>
        <v>3816</v>
      </c>
      <c r="E47" s="113">
        <f t="shared" si="9"/>
        <v>3999.96</v>
      </c>
      <c r="F47" s="132">
        <f t="shared" si="5"/>
        <v>30614.540478106705</v>
      </c>
      <c r="G47" s="104">
        <f>'DataCalculations-Non Cal Poly'!F49</f>
        <v>5269.487564162864</v>
      </c>
      <c r="H47" s="130">
        <f>'DataCalculations-Non Cal Poly'!I49</f>
        <v>89141.2697598506</v>
      </c>
      <c r="I47" s="103">
        <f t="shared" si="6"/>
        <v>0</v>
      </c>
      <c r="J47" s="103">
        <f t="shared" si="7"/>
        <v>434278.0573583112</v>
      </c>
      <c r="K47" s="131">
        <f t="shared" si="0"/>
        <v>345136.78759846056</v>
      </c>
      <c r="L47" s="103">
        <f t="shared" si="1"/>
        <v>2647.8806452022086</v>
      </c>
    </row>
    <row r="48" spans="1:12" ht="12.75">
      <c r="A48" s="88">
        <f t="shared" si="2"/>
        <v>25</v>
      </c>
      <c r="B48" s="103">
        <f t="shared" si="3"/>
        <v>17476.545461460737</v>
      </c>
      <c r="C48" s="113">
        <f t="shared" si="4"/>
        <v>5428.47571697889</v>
      </c>
      <c r="D48" s="113">
        <f t="shared" si="8"/>
        <v>3816</v>
      </c>
      <c r="E48" s="113">
        <f t="shared" si="9"/>
        <v>3999.96</v>
      </c>
      <c r="F48" s="132">
        <f t="shared" si="5"/>
        <v>30720.981178439626</v>
      </c>
      <c r="G48" s="104">
        <f>'DataCalculations-Non Cal Poly'!F50</f>
        <v>4580.9127264860035</v>
      </c>
      <c r="H48" s="130">
        <f>'DataCalculations-Non Cal Poly'!I50</f>
        <v>76245.62248633661</v>
      </c>
      <c r="I48" s="103">
        <f t="shared" si="6"/>
        <v>0</v>
      </c>
      <c r="J48" s="103">
        <f t="shared" si="7"/>
        <v>442963.61850547744</v>
      </c>
      <c r="K48" s="131">
        <f t="shared" si="0"/>
        <v>366717.9960191408</v>
      </c>
      <c r="L48" s="103">
        <f t="shared" si="1"/>
        <v>2502.3471108662234</v>
      </c>
    </row>
    <row r="49" spans="1:12" ht="12.75">
      <c r="A49" s="88">
        <f t="shared" si="2"/>
        <v>26</v>
      </c>
      <c r="B49" s="103">
        <f t="shared" si="3"/>
        <v>17476.545461460737</v>
      </c>
      <c r="C49" s="113">
        <f t="shared" si="4"/>
        <v>5537.045231318468</v>
      </c>
      <c r="D49" s="113">
        <f t="shared" si="8"/>
        <v>3816</v>
      </c>
      <c r="E49" s="113">
        <f t="shared" si="9"/>
        <v>3999.96</v>
      </c>
      <c r="F49" s="132">
        <f t="shared" si="5"/>
        <v>30829.550692779205</v>
      </c>
      <c r="G49" s="104">
        <f>'DataCalculations-Non Cal Poly'!F51</f>
        <v>3853.496855500536</v>
      </c>
      <c r="H49" s="130">
        <f>'DataCalculations-Non Cal Poly'!I51</f>
        <v>62622.55934183714</v>
      </c>
      <c r="I49" s="103">
        <f t="shared" si="6"/>
        <v>0</v>
      </c>
      <c r="J49" s="103">
        <f t="shared" si="7"/>
        <v>451822.890875587</v>
      </c>
      <c r="K49" s="131">
        <f t="shared" si="0"/>
        <v>389200.3315337499</v>
      </c>
      <c r="L49" s="103">
        <f t="shared" si="1"/>
        <v>2347.635521704751</v>
      </c>
    </row>
    <row r="50" spans="1:12" ht="12.75">
      <c r="A50" s="88">
        <f t="shared" si="2"/>
        <v>27</v>
      </c>
      <c r="B50" s="103">
        <f t="shared" si="3"/>
        <v>17476.545461460737</v>
      </c>
      <c r="C50" s="113">
        <f t="shared" si="4"/>
        <v>5647.786135944837</v>
      </c>
      <c r="D50" s="113">
        <f t="shared" si="8"/>
        <v>3816</v>
      </c>
      <c r="E50" s="113">
        <f t="shared" si="9"/>
        <v>3999.96</v>
      </c>
      <c r="F50" s="132">
        <f t="shared" si="5"/>
        <v>30940.291597405572</v>
      </c>
      <c r="G50" s="104">
        <f>'DataCalculations-Non Cal Poly'!F52</f>
        <v>3085.0490116223045</v>
      </c>
      <c r="H50" s="130">
        <f>'DataCalculations-Non Cal Poly'!I52</f>
        <v>48231.048353459446</v>
      </c>
      <c r="I50" s="103">
        <f t="shared" si="6"/>
        <v>0</v>
      </c>
      <c r="J50" s="103">
        <f t="shared" si="7"/>
        <v>460859.34869309876</v>
      </c>
      <c r="K50" s="131">
        <f t="shared" si="0"/>
        <v>412628.3003396393</v>
      </c>
      <c r="L50" s="103">
        <f t="shared" si="1"/>
        <v>2183.208786891785</v>
      </c>
    </row>
    <row r="51" spans="1:12" ht="12.75">
      <c r="A51" s="88">
        <f t="shared" si="2"/>
        <v>28</v>
      </c>
      <c r="B51" s="103">
        <f t="shared" si="3"/>
        <v>17476.545461460737</v>
      </c>
      <c r="C51" s="113">
        <f t="shared" si="4"/>
        <v>5760.741858663734</v>
      </c>
      <c r="D51" s="113">
        <f t="shared" si="8"/>
        <v>3816</v>
      </c>
      <c r="E51" s="113">
        <f t="shared" si="9"/>
        <v>3999.96</v>
      </c>
      <c r="F51" s="132">
        <f t="shared" si="5"/>
        <v>31053.247320124472</v>
      </c>
      <c r="G51" s="104">
        <f>'DataCalculations-Non Cal Poly'!F53</f>
        <v>2273.25466905296</v>
      </c>
      <c r="H51" s="130">
        <f>'DataCalculations-Non Cal Poly'!I53</f>
        <v>33027.743022512404</v>
      </c>
      <c r="I51" s="103">
        <f t="shared" si="6"/>
        <v>0</v>
      </c>
      <c r="J51" s="103">
        <f t="shared" si="7"/>
        <v>470076.53566696076</v>
      </c>
      <c r="K51" s="131">
        <f t="shared" si="0"/>
        <v>437048.79264444835</v>
      </c>
      <c r="L51" s="103">
        <f t="shared" si="1"/>
        <v>2008.4991319291735</v>
      </c>
    </row>
    <row r="52" spans="1:12" ht="12.75">
      <c r="A52" s="88">
        <f t="shared" si="2"/>
        <v>29</v>
      </c>
      <c r="B52" s="103">
        <f t="shared" si="3"/>
        <v>17476.545461460737</v>
      </c>
      <c r="C52" s="113">
        <f t="shared" si="4"/>
        <v>5875.956695837009</v>
      </c>
      <c r="D52" s="113">
        <f t="shared" si="8"/>
        <v>3816</v>
      </c>
      <c r="E52" s="113">
        <f t="shared" si="9"/>
        <v>3999.96</v>
      </c>
      <c r="F52" s="132">
        <f t="shared" si="5"/>
        <v>31168.462157297745</v>
      </c>
      <c r="G52" s="104">
        <f>'DataCalculations-Non Cal Poly'!F54</f>
        <v>1415.668744546223</v>
      </c>
      <c r="H52" s="130">
        <f>'DataCalculations-Non Cal Poly'!I54</f>
        <v>16966.851767058626</v>
      </c>
      <c r="I52" s="103">
        <f t="shared" si="6"/>
        <v>0</v>
      </c>
      <c r="J52" s="103">
        <f t="shared" si="7"/>
        <v>479478.0663803</v>
      </c>
      <c r="K52" s="131">
        <f t="shared" si="0"/>
        <v>462511.2146132414</v>
      </c>
      <c r="L52" s="103">
        <f t="shared" si="1"/>
        <v>1822.906360095808</v>
      </c>
    </row>
    <row r="53" spans="1:12" ht="12.75">
      <c r="A53" s="88">
        <f t="shared" si="2"/>
        <v>30</v>
      </c>
      <c r="B53" s="103">
        <f t="shared" si="3"/>
        <v>17476.545461460737</v>
      </c>
      <c r="C53" s="113">
        <f t="shared" si="4"/>
        <v>5993.475829753749</v>
      </c>
      <c r="D53" s="113">
        <f t="shared" si="8"/>
        <v>3816</v>
      </c>
      <c r="E53" s="113">
        <f t="shared" si="9"/>
        <v>3999.96</v>
      </c>
      <c r="F53" s="132">
        <f t="shared" si="5"/>
        <v>31285.981291214484</v>
      </c>
      <c r="G53" s="104">
        <f>'DataCalculations-Non Cal Poly'!F55</f>
        <v>509.7082329413752</v>
      </c>
      <c r="H53" s="130">
        <f>'DataCalculations-Non Cal Poly'!I55</f>
        <v>0</v>
      </c>
      <c r="I53" s="103">
        <f t="shared" si="6"/>
        <v>0</v>
      </c>
      <c r="J53" s="103">
        <f t="shared" si="7"/>
        <v>489067.627707906</v>
      </c>
      <c r="K53" s="131">
        <f t="shared" si="0"/>
        <v>489067.627707906</v>
      </c>
      <c r="L53" s="103">
        <f t="shared" si="1"/>
        <v>1625.796015673781</v>
      </c>
    </row>
    <row r="54" spans="4:5" ht="12.75">
      <c r="D54" s="133"/>
      <c r="E54" s="133"/>
    </row>
    <row r="55" spans="1:2" ht="12.75">
      <c r="A55" s="134"/>
      <c r="B55" s="135" t="s">
        <v>121</v>
      </c>
    </row>
    <row r="56" spans="1:2" ht="12.75">
      <c r="A56" s="134"/>
      <c r="B56" s="136" t="s">
        <v>118</v>
      </c>
    </row>
    <row r="58" spans="1:14" ht="12.75">
      <c r="A58" s="137" t="s">
        <v>108</v>
      </c>
      <c r="B58" s="136" t="s">
        <v>109</v>
      </c>
      <c r="C58" s="136"/>
      <c r="D58" s="136"/>
      <c r="E58" s="136"/>
      <c r="F58" s="136"/>
      <c r="G58" s="136"/>
      <c r="H58" s="136"/>
      <c r="I58" s="136"/>
      <c r="J58" s="136"/>
      <c r="K58" s="136"/>
      <c r="L58" s="136"/>
      <c r="M58" s="136"/>
      <c r="N58" s="138"/>
    </row>
    <row r="59" spans="1:14" ht="12.75">
      <c r="A59" s="138"/>
      <c r="B59" s="136" t="s">
        <v>115</v>
      </c>
      <c r="C59" s="136"/>
      <c r="D59" s="136"/>
      <c r="E59" s="136"/>
      <c r="F59" s="136"/>
      <c r="G59" s="136"/>
      <c r="H59" s="136"/>
      <c r="I59" s="136"/>
      <c r="J59" s="136"/>
      <c r="K59" s="136"/>
      <c r="L59" s="136"/>
      <c r="M59" s="136"/>
      <c r="N59" s="138"/>
    </row>
    <row r="60" spans="1:14" ht="12.75">
      <c r="A60" s="138"/>
      <c r="B60" s="136" t="s">
        <v>116</v>
      </c>
      <c r="C60" s="136"/>
      <c r="D60" s="136"/>
      <c r="E60" s="136"/>
      <c r="F60" s="136"/>
      <c r="G60" s="136"/>
      <c r="H60" s="136"/>
      <c r="I60" s="136"/>
      <c r="J60" s="136"/>
      <c r="K60" s="136"/>
      <c r="L60" s="136"/>
      <c r="M60" s="136"/>
      <c r="N60" s="138"/>
    </row>
    <row r="61" spans="1:14" ht="12.75">
      <c r="A61" s="138"/>
      <c r="B61" s="136" t="s">
        <v>107</v>
      </c>
      <c r="C61" s="136"/>
      <c r="D61" s="136"/>
      <c r="E61" s="136"/>
      <c r="F61" s="136"/>
      <c r="G61" s="136"/>
      <c r="H61" s="136"/>
      <c r="I61" s="136"/>
      <c r="J61" s="136"/>
      <c r="K61" s="136"/>
      <c r="L61" s="136"/>
      <c r="M61" s="136"/>
      <c r="N61" s="138"/>
    </row>
    <row r="62" spans="1:14" ht="12.75">
      <c r="A62" s="138"/>
      <c r="B62" s="136" t="s">
        <v>106</v>
      </c>
      <c r="C62" s="136"/>
      <c r="D62" s="136"/>
      <c r="E62" s="136"/>
      <c r="F62" s="136"/>
      <c r="G62" s="136"/>
      <c r="H62" s="136"/>
      <c r="I62" s="136"/>
      <c r="J62" s="136"/>
      <c r="K62" s="136"/>
      <c r="L62" s="136"/>
      <c r="M62" s="136"/>
      <c r="N62" s="138"/>
    </row>
    <row r="63" spans="1:14" ht="12.75">
      <c r="A63" s="138"/>
      <c r="B63" s="136" t="s">
        <v>114</v>
      </c>
      <c r="C63" s="136"/>
      <c r="D63" s="136"/>
      <c r="E63" s="136"/>
      <c r="F63" s="136"/>
      <c r="G63" s="136"/>
      <c r="H63" s="136"/>
      <c r="I63" s="136"/>
      <c r="J63" s="136"/>
      <c r="K63" s="136"/>
      <c r="L63" s="136"/>
      <c r="M63" s="136"/>
      <c r="N63" s="138"/>
    </row>
  </sheetData>
  <sheetProtection password="CC59" sheet="1"/>
  <printOptions/>
  <pageMargins left="0.75" right="0.75" top="1" bottom="1" header="0.5" footer="0.5"/>
  <pageSetup fitToHeight="1" fitToWidth="1" horizontalDpi="600" verticalDpi="600" orientation="portrait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3"/>
  <sheetViews>
    <sheetView workbookViewId="0" topLeftCell="A1">
      <selection activeCell="E3" sqref="E3"/>
    </sheetView>
  </sheetViews>
  <sheetFormatPr defaultColWidth="9.140625" defaultRowHeight="12.75"/>
  <cols>
    <col min="1" max="1" width="6.140625" style="4" customWidth="1"/>
    <col min="2" max="2" width="11.8515625" style="4" customWidth="1"/>
    <col min="3" max="4" width="10.28125" style="4" bestFit="1" customWidth="1"/>
    <col min="5" max="5" width="12.28125" style="4" bestFit="1" customWidth="1"/>
    <col min="6" max="6" width="12.28125" style="4" customWidth="1"/>
    <col min="7" max="7" width="11.28125" style="4" bestFit="1" customWidth="1"/>
    <col min="8" max="8" width="13.140625" style="4" customWidth="1"/>
    <col min="9" max="10" width="13.140625" style="4" bestFit="1" customWidth="1"/>
    <col min="11" max="11" width="12.28125" style="4" bestFit="1" customWidth="1"/>
    <col min="12" max="12" width="10.28125" style="4" bestFit="1" customWidth="1"/>
    <col min="13" max="13" width="8.8515625" style="4" customWidth="1"/>
    <col min="14" max="16384" width="9.140625" style="4" customWidth="1"/>
  </cols>
  <sheetData>
    <row r="1" spans="1:7" ht="12.75">
      <c r="A1" s="9" t="s">
        <v>31</v>
      </c>
      <c r="G1" s="99" t="s">
        <v>113</v>
      </c>
    </row>
    <row r="2" spans="1:3" ht="38.25">
      <c r="A2" s="9"/>
      <c r="C2" s="100" t="s">
        <v>120</v>
      </c>
    </row>
    <row r="3" spans="1:5" ht="12.75">
      <c r="A3" s="72" t="s">
        <v>100</v>
      </c>
      <c r="E3" s="139">
        <f>'InputSheet -Cal Poly'!G3</f>
        <v>290000</v>
      </c>
    </row>
    <row r="4" spans="1:5" ht="12.75">
      <c r="A4" s="4" t="s">
        <v>2</v>
      </c>
      <c r="E4" s="139">
        <f>'InputSheet -Cal Poly'!G4</f>
        <v>5800</v>
      </c>
    </row>
    <row r="5" spans="1:13" ht="12.75">
      <c r="A5" s="4" t="s">
        <v>20</v>
      </c>
      <c r="C5" s="140">
        <f>'InputSheet -Cal Poly'!C5</f>
        <v>0.05</v>
      </c>
      <c r="E5" s="139">
        <f>'InputSheet -Cal Poly'!G5</f>
        <v>58000</v>
      </c>
      <c r="F5" s="72" t="s">
        <v>105</v>
      </c>
      <c r="G5" s="72"/>
      <c r="H5" s="72"/>
      <c r="I5" s="72"/>
      <c r="J5" s="72"/>
      <c r="K5" s="72"/>
      <c r="L5" s="72"/>
      <c r="M5" s="72"/>
    </row>
    <row r="6" spans="1:6" ht="12.75">
      <c r="A6" s="4" t="s">
        <v>10</v>
      </c>
      <c r="C6" s="140">
        <f>'InputSheet -Cal Poly'!C6</f>
        <v>0.055</v>
      </c>
      <c r="E6" s="139">
        <f>+E3-E4-E5</f>
        <v>226200</v>
      </c>
      <c r="F6" s="4" t="s">
        <v>45</v>
      </c>
    </row>
    <row r="7" spans="1:5" ht="12.75">
      <c r="A7" s="4" t="s">
        <v>51</v>
      </c>
      <c r="B7" s="4">
        <f>'InputSheet -Cal Poly'!B7</f>
        <v>30</v>
      </c>
      <c r="C7" s="140" t="s">
        <v>52</v>
      </c>
      <c r="E7" s="141"/>
    </row>
    <row r="8" spans="1:8" ht="12.75">
      <c r="A8" s="4" t="s">
        <v>6</v>
      </c>
      <c r="E8" s="139">
        <f>+E3*0.0125</f>
        <v>3625</v>
      </c>
      <c r="F8" s="98" t="s">
        <v>119</v>
      </c>
      <c r="G8" s="72"/>
      <c r="H8" s="72"/>
    </row>
    <row r="9" spans="1:5" ht="12.75">
      <c r="A9" s="4" t="s">
        <v>7</v>
      </c>
      <c r="E9" s="139">
        <f>IF(E6,-PMT(C6/12,B7*12,E6),"")</f>
        <v>1284.3387210469193</v>
      </c>
    </row>
    <row r="10" spans="1:8" ht="12.75">
      <c r="A10" s="4" t="s">
        <v>8</v>
      </c>
      <c r="E10" s="139">
        <f>E8/12</f>
        <v>302.0833333333333</v>
      </c>
      <c r="H10" s="55" t="s">
        <v>44</v>
      </c>
    </row>
    <row r="11" spans="1:8" ht="12.75">
      <c r="A11" s="4" t="s">
        <v>95</v>
      </c>
      <c r="E11" s="139">
        <v>275</v>
      </c>
      <c r="H11" s="56" t="s">
        <v>33</v>
      </c>
    </row>
    <row r="12" spans="1:9" ht="12.75">
      <c r="A12" s="142" t="s">
        <v>96</v>
      </c>
      <c r="B12" s="142"/>
      <c r="C12" s="142"/>
      <c r="D12" s="142"/>
      <c r="E12" s="143">
        <v>275</v>
      </c>
      <c r="H12" s="57">
        <f>+E9+E10+E11+E13</f>
        <v>1903.0920543802526</v>
      </c>
      <c r="I12" s="144" t="s">
        <v>101</v>
      </c>
    </row>
    <row r="13" spans="1:9" ht="12.75">
      <c r="A13" s="142" t="s">
        <v>16</v>
      </c>
      <c r="B13" s="142"/>
      <c r="C13" s="142"/>
      <c r="D13" s="142"/>
      <c r="E13" s="143">
        <v>41.67</v>
      </c>
      <c r="H13" s="63">
        <f>+E9+E10+E12+E13</f>
        <v>1903.0920543802526</v>
      </c>
      <c r="I13" s="145" t="s">
        <v>97</v>
      </c>
    </row>
    <row r="14" spans="1:11" ht="12.75">
      <c r="A14" s="142" t="s">
        <v>17</v>
      </c>
      <c r="B14" s="142"/>
      <c r="C14" s="142"/>
      <c r="D14" s="142"/>
      <c r="E14" s="143">
        <v>166.67</v>
      </c>
      <c r="H14" s="63">
        <f>+E9+E10+E12+E14</f>
        <v>2028.0920543802526</v>
      </c>
      <c r="I14" s="145" t="s">
        <v>98</v>
      </c>
      <c r="K14" s="6"/>
    </row>
    <row r="15" spans="1:12" ht="12.75">
      <c r="A15" s="142" t="s">
        <v>18</v>
      </c>
      <c r="B15" s="142"/>
      <c r="C15" s="142"/>
      <c r="D15" s="142"/>
      <c r="E15" s="143">
        <v>333.33</v>
      </c>
      <c r="H15" s="65">
        <f>+E9+E10+E12+E15</f>
        <v>2194.7520543802525</v>
      </c>
      <c r="I15" s="146" t="s">
        <v>99</v>
      </c>
      <c r="K15" s="6"/>
      <c r="L15" s="147"/>
    </row>
    <row r="16" spans="5:12" ht="12.75">
      <c r="E16" s="148"/>
      <c r="H16" s="58"/>
      <c r="I16" s="149"/>
      <c r="L16" s="147"/>
    </row>
    <row r="17" spans="5:12" ht="12.75">
      <c r="E17" s="148"/>
      <c r="H17" s="58"/>
      <c r="K17" s="150" t="s">
        <v>102</v>
      </c>
      <c r="L17" s="147"/>
    </row>
    <row r="18" spans="8:12" ht="12.75">
      <c r="H18" s="88"/>
      <c r="I18" s="88"/>
      <c r="J18" s="90" t="s">
        <v>46</v>
      </c>
      <c r="K18" s="150" t="s">
        <v>103</v>
      </c>
      <c r="L18" s="4" t="s">
        <v>94</v>
      </c>
    </row>
    <row r="19" spans="2:12" ht="12.75">
      <c r="B19" s="90" t="s">
        <v>35</v>
      </c>
      <c r="C19" s="72"/>
      <c r="D19" s="142"/>
      <c r="E19" s="142"/>
      <c r="F19" s="151" t="s">
        <v>42</v>
      </c>
      <c r="G19" s="101"/>
      <c r="H19" s="90" t="s">
        <v>39</v>
      </c>
      <c r="I19" s="90" t="s">
        <v>40</v>
      </c>
      <c r="J19" s="101" t="s">
        <v>41</v>
      </c>
      <c r="K19" s="150" t="s">
        <v>104</v>
      </c>
      <c r="L19" s="147">
        <v>0.25</v>
      </c>
    </row>
    <row r="20" spans="2:12" ht="12.75">
      <c r="B20" s="101" t="s">
        <v>11</v>
      </c>
      <c r="C20" s="152" t="s">
        <v>36</v>
      </c>
      <c r="D20" s="153" t="s">
        <v>37</v>
      </c>
      <c r="E20" s="153" t="s">
        <v>38</v>
      </c>
      <c r="F20" s="153" t="s">
        <v>43</v>
      </c>
      <c r="G20" s="150" t="s">
        <v>12</v>
      </c>
      <c r="H20" s="6" t="s">
        <v>26</v>
      </c>
      <c r="I20" s="6" t="s">
        <v>34</v>
      </c>
      <c r="J20" s="6" t="s">
        <v>24</v>
      </c>
      <c r="K20" s="92" t="s">
        <v>29</v>
      </c>
      <c r="L20" s="4" t="s">
        <v>93</v>
      </c>
    </row>
    <row r="21" spans="2:12" ht="12.75">
      <c r="B21" s="101" t="s">
        <v>12</v>
      </c>
      <c r="C21" s="150" t="s">
        <v>9</v>
      </c>
      <c r="D21" s="151" t="s">
        <v>9</v>
      </c>
      <c r="E21" s="151" t="s">
        <v>9</v>
      </c>
      <c r="F21" s="151" t="s">
        <v>19</v>
      </c>
      <c r="G21" s="101" t="s">
        <v>19</v>
      </c>
      <c r="H21" s="4" t="s">
        <v>27</v>
      </c>
      <c r="I21" s="6" t="s">
        <v>21</v>
      </c>
      <c r="J21" s="6" t="s">
        <v>21</v>
      </c>
      <c r="K21" s="92" t="s">
        <v>110</v>
      </c>
      <c r="L21" s="6" t="s">
        <v>48</v>
      </c>
    </row>
    <row r="22" spans="2:12" ht="12.75">
      <c r="B22" s="101" t="s">
        <v>0</v>
      </c>
      <c r="C22" s="150" t="s">
        <v>3</v>
      </c>
      <c r="D22" s="154" t="s">
        <v>5</v>
      </c>
      <c r="E22" s="151" t="s">
        <v>14</v>
      </c>
      <c r="F22" s="151" t="s">
        <v>9</v>
      </c>
      <c r="G22" s="101" t="s">
        <v>9</v>
      </c>
      <c r="H22" s="4" t="s">
        <v>28</v>
      </c>
      <c r="I22" s="6" t="s">
        <v>22</v>
      </c>
      <c r="J22" s="6" t="s">
        <v>22</v>
      </c>
      <c r="K22" s="92" t="s">
        <v>111</v>
      </c>
      <c r="L22" s="6" t="s">
        <v>49</v>
      </c>
    </row>
    <row r="23" spans="1:12" ht="12.75">
      <c r="A23" s="155" t="s">
        <v>13</v>
      </c>
      <c r="B23" s="102" t="s">
        <v>1</v>
      </c>
      <c r="C23" s="156" t="s">
        <v>4</v>
      </c>
      <c r="D23" s="157" t="s">
        <v>32</v>
      </c>
      <c r="E23" s="157" t="s">
        <v>15</v>
      </c>
      <c r="F23" s="157" t="s">
        <v>33</v>
      </c>
      <c r="G23" s="102" t="s">
        <v>47</v>
      </c>
      <c r="H23" s="8" t="s">
        <v>30</v>
      </c>
      <c r="I23" s="155" t="s">
        <v>23</v>
      </c>
      <c r="J23" s="155" t="s">
        <v>25</v>
      </c>
      <c r="K23" s="93" t="s">
        <v>112</v>
      </c>
      <c r="L23" s="155" t="s">
        <v>50</v>
      </c>
    </row>
    <row r="24" spans="1:12" ht="12.75">
      <c r="A24" s="4">
        <v>1</v>
      </c>
      <c r="B24" s="103">
        <f>+E9*12</f>
        <v>15412.064652563033</v>
      </c>
      <c r="C24" s="158">
        <f>(+E10*12)</f>
        <v>3625</v>
      </c>
      <c r="D24" s="143">
        <f>+E11*12</f>
        <v>3300</v>
      </c>
      <c r="E24" s="143">
        <f>+E13*12</f>
        <v>500.04</v>
      </c>
      <c r="F24" s="159">
        <f aca="true" t="shared" si="0" ref="F24:F53">SUM(B24:E24)</f>
        <v>22837.104652563034</v>
      </c>
      <c r="G24" s="104">
        <f>'DataCalculations-Cal Poly'!I23</f>
        <v>12364.960000000001</v>
      </c>
      <c r="H24" s="84">
        <f>'DataCalculations-Cal Poly'!J23</f>
        <v>223152.87999999998</v>
      </c>
      <c r="I24" s="139">
        <f>+E5*1.05</f>
        <v>60900</v>
      </c>
      <c r="J24" s="139">
        <f>+E3*1.02</f>
        <v>295800</v>
      </c>
      <c r="K24" s="91">
        <f aca="true" t="shared" si="1" ref="K24:K53">+J24-H24-I24</f>
        <v>11747.120000000024</v>
      </c>
      <c r="L24" s="139">
        <f aca="true" t="shared" si="2" ref="L24:L53">(G24+C24)*0.25</f>
        <v>3997.4900000000002</v>
      </c>
    </row>
    <row r="25" spans="1:12" ht="12.75">
      <c r="A25" s="4">
        <f aca="true" t="shared" si="3" ref="A25:A53">+A24+1</f>
        <v>2</v>
      </c>
      <c r="B25" s="103">
        <f aca="true" t="shared" si="4" ref="B25:B53">+B24</f>
        <v>15412.064652563033</v>
      </c>
      <c r="C25" s="158">
        <f aca="true" t="shared" si="5" ref="C25:C53">C24*1.02</f>
        <v>3697.5</v>
      </c>
      <c r="D25" s="143">
        <f>+D24</f>
        <v>3300</v>
      </c>
      <c r="E25" s="143">
        <f>+E24</f>
        <v>500.04</v>
      </c>
      <c r="F25" s="160">
        <f t="shared" si="0"/>
        <v>22909.604652563034</v>
      </c>
      <c r="G25" s="104">
        <f>'DataCalculations-Cal Poly'!F27</f>
        <v>12193.304965523606</v>
      </c>
      <c r="H25" s="84">
        <f>'DataCalculations-Cal Poly'!I27</f>
        <v>219934.10496552358</v>
      </c>
      <c r="I25" s="139">
        <f aca="true" t="shared" si="6" ref="I25:I53">+I24*1.05</f>
        <v>63945</v>
      </c>
      <c r="J25" s="139">
        <f aca="true" t="shared" si="7" ref="J25:J53">+J24*1.02</f>
        <v>301716</v>
      </c>
      <c r="K25" s="91">
        <f t="shared" si="1"/>
        <v>17836.895034476416</v>
      </c>
      <c r="L25" s="139">
        <f t="shared" si="2"/>
        <v>3972.7012413809016</v>
      </c>
    </row>
    <row r="26" spans="1:12" ht="12.75">
      <c r="A26" s="4">
        <f t="shared" si="3"/>
        <v>3</v>
      </c>
      <c r="B26" s="103">
        <f t="shared" si="4"/>
        <v>15412.064652563033</v>
      </c>
      <c r="C26" s="158">
        <f t="shared" si="5"/>
        <v>3771.4500000000003</v>
      </c>
      <c r="D26" s="143">
        <f>+D25</f>
        <v>3300</v>
      </c>
      <c r="E26" s="143">
        <f>+E25</f>
        <v>500.04</v>
      </c>
      <c r="F26" s="160">
        <f t="shared" si="0"/>
        <v>22983.554652563034</v>
      </c>
      <c r="G26" s="104">
        <f>'DataCalculations-Cal Poly'!F28</f>
        <v>12011.502161627443</v>
      </c>
      <c r="H26" s="84">
        <f>'DataCalculations-Cal Poly'!I28</f>
        <v>216533.52712715103</v>
      </c>
      <c r="I26" s="139">
        <f t="shared" si="6"/>
        <v>67142.25</v>
      </c>
      <c r="J26" s="139">
        <f t="shared" si="7"/>
        <v>307750.32</v>
      </c>
      <c r="K26" s="91">
        <f t="shared" si="1"/>
        <v>24074.54287284898</v>
      </c>
      <c r="L26" s="139">
        <f t="shared" si="2"/>
        <v>3945.738040406861</v>
      </c>
    </row>
    <row r="27" spans="1:12" ht="12.75">
      <c r="A27" s="4">
        <f t="shared" si="3"/>
        <v>4</v>
      </c>
      <c r="B27" s="103">
        <f t="shared" si="4"/>
        <v>15412.064652563033</v>
      </c>
      <c r="C27" s="158">
        <f t="shared" si="5"/>
        <v>3846.8790000000004</v>
      </c>
      <c r="D27" s="143">
        <f>+E12*12</f>
        <v>3300</v>
      </c>
      <c r="E27" s="143">
        <f>+E26</f>
        <v>500.04</v>
      </c>
      <c r="F27" s="160">
        <f t="shared" si="0"/>
        <v>23058.983652563034</v>
      </c>
      <c r="G27" s="104">
        <f>'DataCalculations-Cal Poly'!F29</f>
        <v>11819.682841690355</v>
      </c>
      <c r="H27" s="84">
        <f>'DataCalculations-Cal Poly'!I29</f>
        <v>212941.1299688414</v>
      </c>
      <c r="I27" s="139">
        <f t="shared" si="6"/>
        <v>70499.3625</v>
      </c>
      <c r="J27" s="139">
        <f t="shared" si="7"/>
        <v>313905.3264</v>
      </c>
      <c r="K27" s="91">
        <f t="shared" si="1"/>
        <v>30464.83393115863</v>
      </c>
      <c r="L27" s="139">
        <f t="shared" si="2"/>
        <v>3916.640460422589</v>
      </c>
    </row>
    <row r="28" spans="1:12" ht="12.75">
      <c r="A28" s="4">
        <f t="shared" si="3"/>
        <v>5</v>
      </c>
      <c r="B28" s="103">
        <f t="shared" si="4"/>
        <v>15412.064652563033</v>
      </c>
      <c r="C28" s="158">
        <f t="shared" si="5"/>
        <v>3923.8165800000006</v>
      </c>
      <c r="D28" s="143">
        <f aca="true" t="shared" si="8" ref="D28:D53">+D27</f>
        <v>3300</v>
      </c>
      <c r="E28" s="143">
        <f>+E27</f>
        <v>500.04</v>
      </c>
      <c r="F28" s="160">
        <f t="shared" si="0"/>
        <v>23135.921232563036</v>
      </c>
      <c r="G28" s="104">
        <f>'DataCalculations-Cal Poly'!F30</f>
        <v>11617.04340433505</v>
      </c>
      <c r="H28" s="84">
        <f>'DataCalculations-Cal Poly'!I30</f>
        <v>209146.09337317644</v>
      </c>
      <c r="I28" s="139">
        <f t="shared" si="6"/>
        <v>74024.330625</v>
      </c>
      <c r="J28" s="139">
        <f t="shared" si="7"/>
        <v>320183.43292800005</v>
      </c>
      <c r="K28" s="91">
        <f t="shared" si="1"/>
        <v>37013.00892982361</v>
      </c>
      <c r="L28" s="139">
        <f t="shared" si="2"/>
        <v>3885.214996083763</v>
      </c>
    </row>
    <row r="29" spans="1:12" ht="12.75">
      <c r="A29" s="4">
        <f t="shared" si="3"/>
        <v>6</v>
      </c>
      <c r="B29" s="103">
        <f t="shared" si="4"/>
        <v>15412.064652563033</v>
      </c>
      <c r="C29" s="158">
        <f t="shared" si="5"/>
        <v>4002.2929116000005</v>
      </c>
      <c r="D29" s="143">
        <f t="shared" si="8"/>
        <v>3300</v>
      </c>
      <c r="E29" s="143">
        <f>+E14*12</f>
        <v>2000.04</v>
      </c>
      <c r="F29" s="160">
        <f t="shared" si="0"/>
        <v>24714.397564163035</v>
      </c>
      <c r="G29" s="104">
        <f>'DataCalculations-Cal Poly'!F31</f>
        <v>11402.973509888758</v>
      </c>
      <c r="H29" s="84">
        <f>'DataCalculations-Cal Poly'!I31</f>
        <v>205136.9868830652</v>
      </c>
      <c r="I29" s="139">
        <f t="shared" si="6"/>
        <v>77725.54715625</v>
      </c>
      <c r="J29" s="139">
        <f t="shared" si="7"/>
        <v>326587.1015865601</v>
      </c>
      <c r="K29" s="91">
        <f t="shared" si="1"/>
        <v>43724.56754724488</v>
      </c>
      <c r="L29" s="139">
        <f t="shared" si="2"/>
        <v>3851.3166053721898</v>
      </c>
    </row>
    <row r="30" spans="1:12" ht="12.75">
      <c r="A30" s="4">
        <f t="shared" si="3"/>
        <v>7</v>
      </c>
      <c r="B30" s="103">
        <f t="shared" si="4"/>
        <v>15412.064652563033</v>
      </c>
      <c r="C30" s="158">
        <f t="shared" si="5"/>
        <v>4082.3387698320007</v>
      </c>
      <c r="D30" s="143">
        <f t="shared" si="8"/>
        <v>3300</v>
      </c>
      <c r="E30" s="143">
        <f>+E29</f>
        <v>2000.04</v>
      </c>
      <c r="F30" s="160">
        <f t="shared" si="0"/>
        <v>24794.443422395034</v>
      </c>
      <c r="G30" s="104">
        <f>'DataCalculations-Cal Poly'!F32</f>
        <v>11176.828390723804</v>
      </c>
      <c r="H30" s="84">
        <f>'DataCalculations-Cal Poly'!I32</f>
        <v>200901.735273789</v>
      </c>
      <c r="I30" s="139">
        <f t="shared" si="6"/>
        <v>81611.82451406251</v>
      </c>
      <c r="J30" s="139">
        <f t="shared" si="7"/>
        <v>333118.8436182913</v>
      </c>
      <c r="K30" s="91">
        <f t="shared" si="1"/>
        <v>50605.2838304398</v>
      </c>
      <c r="L30" s="139">
        <f t="shared" si="2"/>
        <v>3814.791790138951</v>
      </c>
    </row>
    <row r="31" spans="1:12" ht="12.75">
      <c r="A31" s="4">
        <f t="shared" si="3"/>
        <v>8</v>
      </c>
      <c r="B31" s="103">
        <f t="shared" si="4"/>
        <v>15412.064652563033</v>
      </c>
      <c r="C31" s="158">
        <f t="shared" si="5"/>
        <v>4163.985545228641</v>
      </c>
      <c r="D31" s="143">
        <f t="shared" si="8"/>
        <v>3300</v>
      </c>
      <c r="E31" s="143">
        <f>+E30</f>
        <v>2000.04</v>
      </c>
      <c r="F31" s="160">
        <f t="shared" si="0"/>
        <v>24876.090197791673</v>
      </c>
      <c r="G31" s="104">
        <f>'DataCalculations-Cal Poly'!F33</f>
        <v>10937.926909250218</v>
      </c>
      <c r="H31" s="84">
        <f>'DataCalculations-Cal Poly'!I33</f>
        <v>196427.58218303922</v>
      </c>
      <c r="I31" s="139">
        <f t="shared" si="6"/>
        <v>85692.41573976564</v>
      </c>
      <c r="J31" s="139">
        <f t="shared" si="7"/>
        <v>339781.22049065714</v>
      </c>
      <c r="K31" s="91">
        <f t="shared" si="1"/>
        <v>57661.22256785228</v>
      </c>
      <c r="L31" s="139">
        <f t="shared" si="2"/>
        <v>3775.478113619715</v>
      </c>
    </row>
    <row r="32" spans="1:12" ht="12.75">
      <c r="A32" s="4">
        <f t="shared" si="3"/>
        <v>9</v>
      </c>
      <c r="B32" s="103">
        <f t="shared" si="4"/>
        <v>15412.064652563033</v>
      </c>
      <c r="C32" s="158">
        <f t="shared" si="5"/>
        <v>4247.265256133214</v>
      </c>
      <c r="D32" s="143">
        <f t="shared" si="8"/>
        <v>3300</v>
      </c>
      <c r="E32" s="143">
        <f>+E15*12</f>
        <v>3999.96</v>
      </c>
      <c r="F32" s="160">
        <f t="shared" si="0"/>
        <v>26959.289908696246</v>
      </c>
      <c r="G32" s="104">
        <f>'DataCalculations-Cal Poly'!F34</f>
        <v>10685.549506363644</v>
      </c>
      <c r="H32" s="84">
        <f>'DataCalculations-Cal Poly'!I34</f>
        <v>191701.05168940287</v>
      </c>
      <c r="I32" s="139">
        <f t="shared" si="6"/>
        <v>89977.03652675393</v>
      </c>
      <c r="J32" s="139">
        <f t="shared" si="7"/>
        <v>346576.8449004703</v>
      </c>
      <c r="K32" s="91">
        <f t="shared" si="1"/>
        <v>64898.756684313485</v>
      </c>
      <c r="L32" s="139">
        <f t="shared" si="2"/>
        <v>3733.2036906242147</v>
      </c>
    </row>
    <row r="33" spans="1:12" ht="12.75">
      <c r="A33" s="4">
        <f t="shared" si="3"/>
        <v>10</v>
      </c>
      <c r="B33" s="103">
        <f t="shared" si="4"/>
        <v>15412.064652563033</v>
      </c>
      <c r="C33" s="158">
        <f t="shared" si="5"/>
        <v>4332.210561255879</v>
      </c>
      <c r="D33" s="143">
        <f t="shared" si="8"/>
        <v>3300</v>
      </c>
      <c r="E33" s="143">
        <f aca="true" t="shared" si="9" ref="E33:E53">+E32</f>
        <v>3999.96</v>
      </c>
      <c r="F33" s="160">
        <f t="shared" si="0"/>
        <v>27044.23521381891</v>
      </c>
      <c r="G33" s="104">
        <f>'DataCalculations-Cal Poly'!F35</f>
        <v>10418.93603417063</v>
      </c>
      <c r="H33" s="84">
        <f>'DataCalculations-Cal Poly'!I35</f>
        <v>186707.9077235735</v>
      </c>
      <c r="I33" s="139">
        <f t="shared" si="6"/>
        <v>94475.88835309164</v>
      </c>
      <c r="J33" s="139">
        <f t="shared" si="7"/>
        <v>353508.3817984797</v>
      </c>
      <c r="K33" s="91">
        <f t="shared" si="1"/>
        <v>72324.58572181457</v>
      </c>
      <c r="L33" s="139">
        <f t="shared" si="2"/>
        <v>3687.7866488566274</v>
      </c>
    </row>
    <row r="34" spans="1:12" ht="12.75">
      <c r="A34" s="4">
        <f t="shared" si="3"/>
        <v>11</v>
      </c>
      <c r="B34" s="103">
        <f t="shared" si="4"/>
        <v>15412.064652563033</v>
      </c>
      <c r="C34" s="158">
        <f t="shared" si="5"/>
        <v>4418.854772480997</v>
      </c>
      <c r="D34" s="143">
        <f t="shared" si="8"/>
        <v>3300</v>
      </c>
      <c r="E34" s="143">
        <f t="shared" si="9"/>
        <v>3999.96</v>
      </c>
      <c r="F34" s="160">
        <f t="shared" si="0"/>
        <v>27130.87942504403</v>
      </c>
      <c r="G34" s="104">
        <f>'DataCalculations-Cal Poly'!F36</f>
        <v>10137.283466461271</v>
      </c>
      <c r="H34" s="84">
        <f>'DataCalculations-Cal Poly'!I36</f>
        <v>181433.11119003478</v>
      </c>
      <c r="I34" s="139">
        <f t="shared" si="6"/>
        <v>99199.68277074622</v>
      </c>
      <c r="J34" s="139">
        <f t="shared" si="7"/>
        <v>360578.5494344493</v>
      </c>
      <c r="K34" s="91">
        <f t="shared" si="1"/>
        <v>79945.7554736683</v>
      </c>
      <c r="L34" s="139">
        <f t="shared" si="2"/>
        <v>3639.034559735567</v>
      </c>
    </row>
    <row r="35" spans="1:12" ht="12.75">
      <c r="A35" s="4">
        <f t="shared" si="3"/>
        <v>12</v>
      </c>
      <c r="B35" s="103">
        <f t="shared" si="4"/>
        <v>15412.064652563033</v>
      </c>
      <c r="C35" s="158">
        <f t="shared" si="5"/>
        <v>4507.231867930617</v>
      </c>
      <c r="D35" s="143">
        <f t="shared" si="8"/>
        <v>3300</v>
      </c>
      <c r="E35" s="143">
        <f t="shared" si="9"/>
        <v>3999.96</v>
      </c>
      <c r="F35" s="160">
        <f t="shared" si="0"/>
        <v>27219.256520493647</v>
      </c>
      <c r="G35" s="104">
        <f>'DataCalculations-Cal Poly'!F37</f>
        <v>9839.74348003529</v>
      </c>
      <c r="H35" s="84">
        <f>'DataCalculations-Cal Poly'!I37</f>
        <v>175860.77467007007</v>
      </c>
      <c r="I35" s="139">
        <f t="shared" si="6"/>
        <v>104159.66690928354</v>
      </c>
      <c r="J35" s="139">
        <f t="shared" si="7"/>
        <v>367790.12042313826</v>
      </c>
      <c r="K35" s="91">
        <f t="shared" si="1"/>
        <v>87769.67884378466</v>
      </c>
      <c r="L35" s="139">
        <f t="shared" si="2"/>
        <v>3586.7438369914767</v>
      </c>
    </row>
    <row r="36" spans="1:12" ht="12.75">
      <c r="A36" s="4">
        <f t="shared" si="3"/>
        <v>13</v>
      </c>
      <c r="B36" s="103">
        <f t="shared" si="4"/>
        <v>15412.064652563033</v>
      </c>
      <c r="C36" s="158">
        <f t="shared" si="5"/>
        <v>4597.3765052892295</v>
      </c>
      <c r="D36" s="143">
        <f t="shared" si="8"/>
        <v>3300</v>
      </c>
      <c r="E36" s="143">
        <f t="shared" si="9"/>
        <v>3999.96</v>
      </c>
      <c r="F36" s="160">
        <f t="shared" si="0"/>
        <v>27309.401157852262</v>
      </c>
      <c r="G36" s="104">
        <f>'DataCalculations-Cal Poly'!F38</f>
        <v>9525.419899595912</v>
      </c>
      <c r="H36" s="84">
        <f>'DataCalculations-Cal Poly'!I38</f>
        <v>169974.11456966598</v>
      </c>
      <c r="I36" s="139">
        <f t="shared" si="6"/>
        <v>109367.65025474771</v>
      </c>
      <c r="J36" s="139">
        <f t="shared" si="7"/>
        <v>375145.92283160106</v>
      </c>
      <c r="K36" s="91">
        <f t="shared" si="1"/>
        <v>95804.15800718736</v>
      </c>
      <c r="L36" s="139">
        <f t="shared" si="2"/>
        <v>3530.6991012212857</v>
      </c>
    </row>
    <row r="37" spans="1:12" ht="12.75">
      <c r="A37" s="4">
        <f t="shared" si="3"/>
        <v>14</v>
      </c>
      <c r="B37" s="103">
        <f t="shared" si="4"/>
        <v>15412.064652563033</v>
      </c>
      <c r="C37" s="158">
        <f t="shared" si="5"/>
        <v>4689.324035395014</v>
      </c>
      <c r="D37" s="143">
        <f t="shared" si="8"/>
        <v>3300</v>
      </c>
      <c r="E37" s="143">
        <f t="shared" si="9"/>
        <v>3999.96</v>
      </c>
      <c r="F37" s="160">
        <f t="shared" si="0"/>
        <v>27401.348687958045</v>
      </c>
      <c r="G37" s="104">
        <f>'DataCalculations-Cal Poly'!F39</f>
        <v>9193.3659985152</v>
      </c>
      <c r="H37" s="84">
        <f>'DataCalculations-Cal Poly'!I39</f>
        <v>163755.40056818118</v>
      </c>
      <c r="I37" s="139">
        <f t="shared" si="6"/>
        <v>114836.0327674851</v>
      </c>
      <c r="J37" s="139">
        <f t="shared" si="7"/>
        <v>382648.84128823306</v>
      </c>
      <c r="K37" s="91">
        <f t="shared" si="1"/>
        <v>104057.40795256678</v>
      </c>
      <c r="L37" s="139">
        <f t="shared" si="2"/>
        <v>3470.6725084775535</v>
      </c>
    </row>
    <row r="38" spans="1:12" ht="12.75">
      <c r="A38" s="4">
        <f t="shared" si="3"/>
        <v>15</v>
      </c>
      <c r="B38" s="103">
        <f t="shared" si="4"/>
        <v>15412.064652563033</v>
      </c>
      <c r="C38" s="158">
        <f t="shared" si="5"/>
        <v>4783.1105161029145</v>
      </c>
      <c r="D38" s="143">
        <f t="shared" si="8"/>
        <v>3300</v>
      </c>
      <c r="E38" s="143">
        <f t="shared" si="9"/>
        <v>3999.96</v>
      </c>
      <c r="F38" s="160">
        <f t="shared" si="0"/>
        <v>27495.135168665947</v>
      </c>
      <c r="G38" s="104">
        <f>'DataCalculations-Cal Poly'!F40</f>
        <v>8842.581647341878</v>
      </c>
      <c r="H38" s="84">
        <f>'DataCalculations-Cal Poly'!I40</f>
        <v>157185.90221552306</v>
      </c>
      <c r="I38" s="139">
        <f t="shared" si="6"/>
        <v>120577.83440585936</v>
      </c>
      <c r="J38" s="139">
        <f t="shared" si="7"/>
        <v>390301.81811399775</v>
      </c>
      <c r="K38" s="91">
        <f t="shared" si="1"/>
        <v>112538.08149261533</v>
      </c>
      <c r="L38" s="139">
        <f t="shared" si="2"/>
        <v>3406.4230408611984</v>
      </c>
    </row>
    <row r="39" spans="1:12" ht="12.75">
      <c r="A39" s="4">
        <f t="shared" si="3"/>
        <v>16</v>
      </c>
      <c r="B39" s="103">
        <f t="shared" si="4"/>
        <v>15412.064652563033</v>
      </c>
      <c r="C39" s="158">
        <f t="shared" si="5"/>
        <v>4878.7727264249725</v>
      </c>
      <c r="D39" s="143">
        <f t="shared" si="8"/>
        <v>3300</v>
      </c>
      <c r="E39" s="143">
        <f t="shared" si="9"/>
        <v>3999.96</v>
      </c>
      <c r="F39" s="160">
        <f t="shared" si="0"/>
        <v>27590.797378988005</v>
      </c>
      <c r="G39" s="104">
        <f>'DataCalculations-Cal Poly'!F41</f>
        <v>8472.010301462124</v>
      </c>
      <c r="H39" s="84">
        <f>'DataCalculations-Cal Poly'!I41</f>
        <v>150245.8325169852</v>
      </c>
      <c r="I39" s="139">
        <f t="shared" si="6"/>
        <v>126606.72612615234</v>
      </c>
      <c r="J39" s="139">
        <f t="shared" si="7"/>
        <v>398107.8544762777</v>
      </c>
      <c r="K39" s="91">
        <f t="shared" si="1"/>
        <v>121255.29583314019</v>
      </c>
      <c r="L39" s="139">
        <f t="shared" si="2"/>
        <v>3337.6957569717742</v>
      </c>
    </row>
    <row r="40" spans="1:12" ht="12.75">
      <c r="A40" s="4">
        <f t="shared" si="3"/>
        <v>17</v>
      </c>
      <c r="B40" s="103">
        <f t="shared" si="4"/>
        <v>15412.064652563033</v>
      </c>
      <c r="C40" s="158">
        <f t="shared" si="5"/>
        <v>4976.348180953472</v>
      </c>
      <c r="D40" s="143">
        <f t="shared" si="8"/>
        <v>3300</v>
      </c>
      <c r="E40" s="143">
        <f t="shared" si="9"/>
        <v>3999.96</v>
      </c>
      <c r="F40" s="160">
        <f t="shared" si="0"/>
        <v>27688.372833516503</v>
      </c>
      <c r="G40" s="104">
        <f>'DataCalculations-Cal Poly'!F42</f>
        <v>8080.535818841145</v>
      </c>
      <c r="H40" s="84">
        <f>'DataCalculations-Cal Poly'!I42</f>
        <v>142914.28833582634</v>
      </c>
      <c r="I40" s="139">
        <f t="shared" si="6"/>
        <v>132937.06243245996</v>
      </c>
      <c r="J40" s="139">
        <f t="shared" si="7"/>
        <v>406070.01156580326</v>
      </c>
      <c r="K40" s="91">
        <f t="shared" si="1"/>
        <v>130218.66079751699</v>
      </c>
      <c r="L40" s="139">
        <f t="shared" si="2"/>
        <v>3264.220999948654</v>
      </c>
    </row>
    <row r="41" spans="1:12" ht="12.75">
      <c r="A41" s="4">
        <f t="shared" si="3"/>
        <v>18</v>
      </c>
      <c r="B41" s="103">
        <f t="shared" si="4"/>
        <v>15412.064652563033</v>
      </c>
      <c r="C41" s="158">
        <f t="shared" si="5"/>
        <v>5075.875144572542</v>
      </c>
      <c r="D41" s="143">
        <f t="shared" si="8"/>
        <v>3300</v>
      </c>
      <c r="E41" s="143">
        <f t="shared" si="9"/>
        <v>3999.96</v>
      </c>
      <c r="F41" s="160">
        <f t="shared" si="0"/>
        <v>27787.899797135575</v>
      </c>
      <c r="G41" s="104">
        <f>'DataCalculations-Cal Poly'!F43</f>
        <v>7666.979098259919</v>
      </c>
      <c r="H41" s="84">
        <f>'DataCalculations-Cal Poly'!I43</f>
        <v>135169.18743408626</v>
      </c>
      <c r="I41" s="139">
        <f t="shared" si="6"/>
        <v>139583.91555408298</v>
      </c>
      <c r="J41" s="139">
        <f t="shared" si="7"/>
        <v>414191.4117971193</v>
      </c>
      <c r="K41" s="91">
        <f t="shared" si="1"/>
        <v>139438.3088089501</v>
      </c>
      <c r="L41" s="139">
        <f t="shared" si="2"/>
        <v>3185.7135607081154</v>
      </c>
    </row>
    <row r="42" spans="1:12" ht="12.75">
      <c r="A42" s="4">
        <f t="shared" si="3"/>
        <v>19</v>
      </c>
      <c r="B42" s="103">
        <f t="shared" si="4"/>
        <v>15412.064652563033</v>
      </c>
      <c r="C42" s="158">
        <f t="shared" si="5"/>
        <v>5177.392647463993</v>
      </c>
      <c r="D42" s="143">
        <f t="shared" si="8"/>
        <v>3300</v>
      </c>
      <c r="E42" s="143">
        <f t="shared" si="9"/>
        <v>3999.96</v>
      </c>
      <c r="F42" s="160">
        <f t="shared" si="0"/>
        <v>27889.417300027024</v>
      </c>
      <c r="G42" s="104">
        <f>'DataCalculations-Cal Poly'!F44</f>
        <v>7230.094527922698</v>
      </c>
      <c r="H42" s="84">
        <f>'DataCalculations-Cal Poly'!I44</f>
        <v>126987.20196200896</v>
      </c>
      <c r="I42" s="139">
        <f t="shared" si="6"/>
        <v>146563.11133178713</v>
      </c>
      <c r="J42" s="139">
        <f t="shared" si="7"/>
        <v>422475.2400330617</v>
      </c>
      <c r="K42" s="91">
        <f t="shared" si="1"/>
        <v>148924.92673926562</v>
      </c>
      <c r="L42" s="139">
        <f t="shared" si="2"/>
        <v>3101.8717938466725</v>
      </c>
    </row>
    <row r="43" spans="1:12" ht="12.75">
      <c r="A43" s="4">
        <f t="shared" si="3"/>
        <v>20</v>
      </c>
      <c r="B43" s="103">
        <f t="shared" si="4"/>
        <v>15412.064652563033</v>
      </c>
      <c r="C43" s="158">
        <f t="shared" si="5"/>
        <v>5280.940500413273</v>
      </c>
      <c r="D43" s="143">
        <f t="shared" si="8"/>
        <v>3300</v>
      </c>
      <c r="E43" s="143">
        <f t="shared" si="9"/>
        <v>3999.96</v>
      </c>
      <c r="F43" s="160">
        <f t="shared" si="0"/>
        <v>27992.965152976307</v>
      </c>
      <c r="G43" s="104">
        <f>'DataCalculations-Cal Poly'!F45</f>
        <v>6768.566233737274</v>
      </c>
      <c r="H43" s="84">
        <f>'DataCalculations-Cal Poly'!I45</f>
        <v>118343.68819574623</v>
      </c>
      <c r="I43" s="139">
        <f t="shared" si="6"/>
        <v>153891.2668983765</v>
      </c>
      <c r="J43" s="139">
        <f t="shared" si="7"/>
        <v>430924.74483372294</v>
      </c>
      <c r="K43" s="91">
        <f t="shared" si="1"/>
        <v>158689.78973960024</v>
      </c>
      <c r="L43" s="139">
        <f t="shared" si="2"/>
        <v>3012.376683537637</v>
      </c>
    </row>
    <row r="44" spans="1:12" ht="12.75">
      <c r="A44" s="4">
        <f t="shared" si="3"/>
        <v>21</v>
      </c>
      <c r="B44" s="103">
        <f t="shared" si="4"/>
        <v>15412.064652563033</v>
      </c>
      <c r="C44" s="158">
        <f t="shared" si="5"/>
        <v>5386.559310421539</v>
      </c>
      <c r="D44" s="143">
        <f t="shared" si="8"/>
        <v>3300</v>
      </c>
      <c r="E44" s="143">
        <f t="shared" si="9"/>
        <v>3999.96</v>
      </c>
      <c r="F44" s="160">
        <f t="shared" si="0"/>
        <v>28098.583962984572</v>
      </c>
      <c r="G44" s="104">
        <f>'DataCalculations-Cal Poly'!F46</f>
        <v>6281.004115969463</v>
      </c>
      <c r="H44" s="84">
        <f>'DataCalculations-Cal Poly'!I46</f>
        <v>109212.6123117157</v>
      </c>
      <c r="I44" s="139">
        <f t="shared" si="6"/>
        <v>161585.83024329532</v>
      </c>
      <c r="J44" s="139">
        <f t="shared" si="7"/>
        <v>439543.2397303974</v>
      </c>
      <c r="K44" s="91">
        <f t="shared" si="1"/>
        <v>168744.79717538643</v>
      </c>
      <c r="L44" s="139">
        <f t="shared" si="2"/>
        <v>2916.8908565977504</v>
      </c>
    </row>
    <row r="45" spans="1:12" ht="12.75">
      <c r="A45" s="4">
        <f t="shared" si="3"/>
        <v>22</v>
      </c>
      <c r="B45" s="103">
        <f t="shared" si="4"/>
        <v>15412.064652563033</v>
      </c>
      <c r="C45" s="158">
        <f t="shared" si="5"/>
        <v>5494.290496629969</v>
      </c>
      <c r="D45" s="143">
        <f t="shared" si="8"/>
        <v>3300</v>
      </c>
      <c r="E45" s="143">
        <f t="shared" si="9"/>
        <v>3999.96</v>
      </c>
      <c r="F45" s="160">
        <f t="shared" si="0"/>
        <v>28206.315149193</v>
      </c>
      <c r="G45" s="104">
        <f>'DataCalculations-Cal Poly'!F47</f>
        <v>5765.939662333385</v>
      </c>
      <c r="H45" s="84">
        <f>'DataCalculations-Cal Poly'!I47</f>
        <v>99566.47197404908</v>
      </c>
      <c r="I45" s="139">
        <f t="shared" si="6"/>
        <v>169665.1217554601</v>
      </c>
      <c r="J45" s="139">
        <f t="shared" si="7"/>
        <v>448334.1045250054</v>
      </c>
      <c r="K45" s="91">
        <f t="shared" si="1"/>
        <v>179102.51079549623</v>
      </c>
      <c r="L45" s="139">
        <f t="shared" si="2"/>
        <v>2815.0575397408384</v>
      </c>
    </row>
    <row r="46" spans="1:12" ht="12.75">
      <c r="A46" s="4">
        <f t="shared" si="3"/>
        <v>23</v>
      </c>
      <c r="B46" s="103">
        <f t="shared" si="4"/>
        <v>15412.064652563033</v>
      </c>
      <c r="C46" s="158">
        <f t="shared" si="5"/>
        <v>5604.176306562569</v>
      </c>
      <c r="D46" s="143">
        <f t="shared" si="8"/>
        <v>3300</v>
      </c>
      <c r="E46" s="143">
        <f t="shared" si="9"/>
        <v>3999.96</v>
      </c>
      <c r="F46" s="160">
        <f t="shared" si="0"/>
        <v>28316.2009591256</v>
      </c>
      <c r="G46" s="104">
        <f>'DataCalculations-Cal Poly'!F48</f>
        <v>5221.8215249069435</v>
      </c>
      <c r="H46" s="84">
        <f>'DataCalculations-Cal Poly'!I48</f>
        <v>89376.21349895603</v>
      </c>
      <c r="I46" s="139">
        <f t="shared" si="6"/>
        <v>178148.37784323312</v>
      </c>
      <c r="J46" s="139">
        <f t="shared" si="7"/>
        <v>457300.7866155055</v>
      </c>
      <c r="K46" s="91">
        <f t="shared" si="1"/>
        <v>189776.1952733164</v>
      </c>
      <c r="L46" s="139">
        <f t="shared" si="2"/>
        <v>2706.499457867378</v>
      </c>
    </row>
    <row r="47" spans="1:12" ht="12.75">
      <c r="A47" s="4">
        <f t="shared" si="3"/>
        <v>24</v>
      </c>
      <c r="B47" s="103">
        <f t="shared" si="4"/>
        <v>15412.064652563033</v>
      </c>
      <c r="C47" s="158">
        <f t="shared" si="5"/>
        <v>5716.2598326938205</v>
      </c>
      <c r="D47" s="143">
        <f t="shared" si="8"/>
        <v>3300</v>
      </c>
      <c r="E47" s="143">
        <f t="shared" si="9"/>
        <v>3999.96</v>
      </c>
      <c r="F47" s="160">
        <f t="shared" si="0"/>
        <v>28428.284485256852</v>
      </c>
      <c r="G47" s="104">
        <f>'DataCalculations-Cal Poly'!F49</f>
        <v>4647.010847551424</v>
      </c>
      <c r="H47" s="84">
        <f>'DataCalculations-Cal Poly'!I49</f>
        <v>78611.14434650746</v>
      </c>
      <c r="I47" s="139">
        <f t="shared" si="6"/>
        <v>187055.79673539478</v>
      </c>
      <c r="J47" s="139">
        <f t="shared" si="7"/>
        <v>466446.80234781565</v>
      </c>
      <c r="K47" s="91">
        <f t="shared" si="1"/>
        <v>200779.86126591344</v>
      </c>
      <c r="L47" s="139">
        <f t="shared" si="2"/>
        <v>2590.817670061311</v>
      </c>
    </row>
    <row r="48" spans="1:12" ht="12.75">
      <c r="A48" s="4">
        <f t="shared" si="3"/>
        <v>25</v>
      </c>
      <c r="B48" s="103">
        <f t="shared" si="4"/>
        <v>15412.064652563033</v>
      </c>
      <c r="C48" s="158">
        <f t="shared" si="5"/>
        <v>5830.585029347697</v>
      </c>
      <c r="D48" s="143">
        <f t="shared" si="8"/>
        <v>3300</v>
      </c>
      <c r="E48" s="143">
        <f t="shared" si="9"/>
        <v>3999.96</v>
      </c>
      <c r="F48" s="160">
        <f t="shared" si="0"/>
        <v>28542.60968191073</v>
      </c>
      <c r="G48" s="104">
        <f>'DataCalculations-Cal Poly'!F50</f>
        <v>4039.7763297594174</v>
      </c>
      <c r="H48" s="84">
        <f>'DataCalculations-Cal Poly'!I50</f>
        <v>67238.84067626687</v>
      </c>
      <c r="I48" s="139">
        <f t="shared" si="6"/>
        <v>196408.58657216452</v>
      </c>
      <c r="J48" s="139">
        <f t="shared" si="7"/>
        <v>475775.738394772</v>
      </c>
      <c r="K48" s="91">
        <f t="shared" si="1"/>
        <v>212128.3111463406</v>
      </c>
      <c r="L48" s="139">
        <f t="shared" si="2"/>
        <v>2467.590339776779</v>
      </c>
    </row>
    <row r="49" spans="1:12" ht="12.75">
      <c r="A49" s="4">
        <f t="shared" si="3"/>
        <v>26</v>
      </c>
      <c r="B49" s="103">
        <f t="shared" si="4"/>
        <v>15412.064652563033</v>
      </c>
      <c r="C49" s="158">
        <f t="shared" si="5"/>
        <v>5947.196729934651</v>
      </c>
      <c r="D49" s="143">
        <f t="shared" si="8"/>
        <v>3300</v>
      </c>
      <c r="E49" s="143">
        <f t="shared" si="9"/>
        <v>3999.96</v>
      </c>
      <c r="F49" s="160">
        <f t="shared" si="0"/>
        <v>28659.221382497682</v>
      </c>
      <c r="G49" s="104">
        <f>'DataCalculations-Cal Poly'!F51</f>
        <v>3398.2890120665943</v>
      </c>
      <c r="H49" s="84">
        <f>'DataCalculations-Cal Poly'!I51</f>
        <v>55225.04968833347</v>
      </c>
      <c r="I49" s="139">
        <f t="shared" si="6"/>
        <v>206229.01590077276</v>
      </c>
      <c r="J49" s="139">
        <f t="shared" si="7"/>
        <v>485291.25316266745</v>
      </c>
      <c r="K49" s="91">
        <f t="shared" si="1"/>
        <v>223837.1875735612</v>
      </c>
      <c r="L49" s="139">
        <f t="shared" si="2"/>
        <v>2336.3714355003112</v>
      </c>
    </row>
    <row r="50" spans="1:12" ht="12.75">
      <c r="A50" s="4">
        <f t="shared" si="3"/>
        <v>27</v>
      </c>
      <c r="B50" s="103">
        <f t="shared" si="4"/>
        <v>15412.064652563033</v>
      </c>
      <c r="C50" s="158">
        <f t="shared" si="5"/>
        <v>6066.140664533344</v>
      </c>
      <c r="D50" s="143">
        <f t="shared" si="8"/>
        <v>3300</v>
      </c>
      <c r="E50" s="143">
        <f t="shared" si="9"/>
        <v>3999.96</v>
      </c>
      <c r="F50" s="160">
        <f t="shared" si="0"/>
        <v>28778.165317096376</v>
      </c>
      <c r="G50" s="104">
        <f>'DataCalculations-Cal Poly'!F52</f>
        <v>2720.6167673182754</v>
      </c>
      <c r="H50" s="84">
        <f>'DataCalculations-Cal Poly'!I52</f>
        <v>42533.58645565175</v>
      </c>
      <c r="I50" s="139">
        <f t="shared" si="6"/>
        <v>216540.46669581142</v>
      </c>
      <c r="J50" s="139">
        <f t="shared" si="7"/>
        <v>494997.0782259208</v>
      </c>
      <c r="K50" s="91">
        <f t="shared" si="1"/>
        <v>235923.02507445763</v>
      </c>
      <c r="L50" s="139">
        <f t="shared" si="2"/>
        <v>2196.689357962905</v>
      </c>
    </row>
    <row r="51" spans="1:12" ht="12.75">
      <c r="A51" s="4">
        <f t="shared" si="3"/>
        <v>28</v>
      </c>
      <c r="B51" s="103">
        <f t="shared" si="4"/>
        <v>15412.064652563033</v>
      </c>
      <c r="C51" s="158">
        <f t="shared" si="5"/>
        <v>6187.463477824011</v>
      </c>
      <c r="D51" s="143">
        <f t="shared" si="8"/>
        <v>3300</v>
      </c>
      <c r="E51" s="143">
        <f t="shared" si="9"/>
        <v>3999.96</v>
      </c>
      <c r="F51" s="160">
        <f t="shared" si="0"/>
        <v>28899.488130387042</v>
      </c>
      <c r="G51" s="104">
        <f>'DataCalculations-Cal Poly'!F53</f>
        <v>2004.71848120098</v>
      </c>
      <c r="H51" s="84">
        <f>'DataCalculations-Cal Poly'!I53</f>
        <v>29126.22493685273</v>
      </c>
      <c r="I51" s="139">
        <f t="shared" si="6"/>
        <v>227367.490030602</v>
      </c>
      <c r="J51" s="139">
        <f t="shared" si="7"/>
        <v>504897.0197904392</v>
      </c>
      <c r="K51" s="91">
        <f t="shared" si="1"/>
        <v>248403.30482298447</v>
      </c>
      <c r="L51" s="139">
        <f t="shared" si="2"/>
        <v>2048.0454897562477</v>
      </c>
    </row>
    <row r="52" spans="1:12" ht="12.75">
      <c r="A52" s="4">
        <f t="shared" si="3"/>
        <v>29</v>
      </c>
      <c r="B52" s="103">
        <f t="shared" si="4"/>
        <v>15412.064652563033</v>
      </c>
      <c r="C52" s="158">
        <f t="shared" si="5"/>
        <v>6311.212747380491</v>
      </c>
      <c r="D52" s="143">
        <f t="shared" si="8"/>
        <v>3300</v>
      </c>
      <c r="E52" s="143">
        <f t="shared" si="9"/>
        <v>3999.96</v>
      </c>
      <c r="F52" s="160">
        <f t="shared" si="0"/>
        <v>29023.237399943522</v>
      </c>
      <c r="G52" s="104">
        <f>'DataCalculations-Cal Poly'!F54</f>
        <v>1248.4379045101487</v>
      </c>
      <c r="H52" s="84">
        <f>'DataCalculations-Cal Poly'!I54</f>
        <v>14962.58284136288</v>
      </c>
      <c r="I52" s="139">
        <f t="shared" si="6"/>
        <v>238735.8645321321</v>
      </c>
      <c r="J52" s="139">
        <f t="shared" si="7"/>
        <v>514994.960186248</v>
      </c>
      <c r="K52" s="91">
        <f t="shared" si="1"/>
        <v>261296.51281275303</v>
      </c>
      <c r="L52" s="139">
        <f t="shared" si="2"/>
        <v>1889.91266297266</v>
      </c>
    </row>
    <row r="53" spans="1:12" ht="12.75">
      <c r="A53" s="4">
        <f t="shared" si="3"/>
        <v>30</v>
      </c>
      <c r="B53" s="103">
        <f t="shared" si="4"/>
        <v>15412.064652563033</v>
      </c>
      <c r="C53" s="158">
        <f t="shared" si="5"/>
        <v>6437.437002328101</v>
      </c>
      <c r="D53" s="143">
        <f t="shared" si="8"/>
        <v>3300</v>
      </c>
      <c r="E53" s="143">
        <f t="shared" si="9"/>
        <v>3999.96</v>
      </c>
      <c r="F53" s="160">
        <f t="shared" si="0"/>
        <v>29149.461654891133</v>
      </c>
      <c r="G53" s="104">
        <f>'DataCalculations-Cal Poly'!F55</f>
        <v>449.49715863711754</v>
      </c>
      <c r="H53" s="84">
        <f>'DataCalculations-Cal Poly'!I55</f>
        <v>0</v>
      </c>
      <c r="I53" s="139">
        <f t="shared" si="6"/>
        <v>250672.65775873873</v>
      </c>
      <c r="J53" s="139">
        <f t="shared" si="7"/>
        <v>525294.859389973</v>
      </c>
      <c r="K53" s="91">
        <f t="shared" si="1"/>
        <v>274622.20163123426</v>
      </c>
      <c r="L53" s="139">
        <f t="shared" si="2"/>
        <v>1721.7335402413046</v>
      </c>
    </row>
    <row r="54" spans="4:5" ht="12.75">
      <c r="D54" s="53"/>
      <c r="E54" s="53"/>
    </row>
    <row r="55" spans="1:2" ht="12.75">
      <c r="A55" s="59"/>
      <c r="B55" s="161" t="s">
        <v>121</v>
      </c>
    </row>
    <row r="56" spans="1:2" ht="12.75">
      <c r="A56" s="59"/>
      <c r="B56" s="162" t="s">
        <v>118</v>
      </c>
    </row>
    <row r="58" spans="1:14" ht="12.75">
      <c r="A58" s="94" t="s">
        <v>108</v>
      </c>
      <c r="B58" s="162" t="s">
        <v>109</v>
      </c>
      <c r="C58" s="162"/>
      <c r="D58" s="162"/>
      <c r="E58" s="162"/>
      <c r="F58" s="162"/>
      <c r="G58" s="162"/>
      <c r="H58" s="162"/>
      <c r="I58" s="162"/>
      <c r="J58" s="162"/>
      <c r="K58" s="162"/>
      <c r="L58" s="162"/>
      <c r="M58" s="162"/>
      <c r="N58" s="96"/>
    </row>
    <row r="59" spans="1:14" ht="12.75">
      <c r="A59" s="96"/>
      <c r="B59" s="162" t="s">
        <v>115</v>
      </c>
      <c r="C59" s="162"/>
      <c r="D59" s="162"/>
      <c r="E59" s="162"/>
      <c r="F59" s="162"/>
      <c r="G59" s="162"/>
      <c r="H59" s="162"/>
      <c r="I59" s="162"/>
      <c r="J59" s="162"/>
      <c r="K59" s="162"/>
      <c r="L59" s="162"/>
      <c r="M59" s="162"/>
      <c r="N59" s="96"/>
    </row>
    <row r="60" spans="1:14" ht="12.75">
      <c r="A60" s="96"/>
      <c r="B60" s="162" t="s">
        <v>116</v>
      </c>
      <c r="C60" s="162"/>
      <c r="D60" s="162"/>
      <c r="E60" s="162"/>
      <c r="F60" s="162"/>
      <c r="G60" s="162"/>
      <c r="H60" s="162"/>
      <c r="I60" s="162"/>
      <c r="J60" s="162"/>
      <c r="K60" s="162"/>
      <c r="L60" s="162"/>
      <c r="M60" s="162"/>
      <c r="N60" s="96"/>
    </row>
    <row r="61" spans="1:14" ht="12.75">
      <c r="A61" s="96"/>
      <c r="B61" s="162" t="s">
        <v>107</v>
      </c>
      <c r="C61" s="162"/>
      <c r="D61" s="162"/>
      <c r="E61" s="162"/>
      <c r="F61" s="162"/>
      <c r="G61" s="162"/>
      <c r="H61" s="162"/>
      <c r="I61" s="162"/>
      <c r="J61" s="162"/>
      <c r="K61" s="162"/>
      <c r="L61" s="162"/>
      <c r="M61" s="162"/>
      <c r="N61" s="96"/>
    </row>
    <row r="62" spans="1:14" ht="12.75">
      <c r="A62" s="96"/>
      <c r="B62" s="162" t="s">
        <v>106</v>
      </c>
      <c r="C62" s="162"/>
      <c r="D62" s="162"/>
      <c r="E62" s="162"/>
      <c r="F62" s="162"/>
      <c r="G62" s="162"/>
      <c r="H62" s="162"/>
      <c r="I62" s="162"/>
      <c r="J62" s="162"/>
      <c r="K62" s="162"/>
      <c r="L62" s="162"/>
      <c r="M62" s="162"/>
      <c r="N62" s="96"/>
    </row>
    <row r="63" spans="1:14" ht="12.75">
      <c r="A63" s="96"/>
      <c r="B63" s="162" t="s">
        <v>114</v>
      </c>
      <c r="C63" s="162"/>
      <c r="D63" s="162"/>
      <c r="E63" s="162"/>
      <c r="F63" s="162"/>
      <c r="G63" s="162"/>
      <c r="H63" s="162"/>
      <c r="I63" s="162"/>
      <c r="J63" s="162"/>
      <c r="K63" s="162"/>
      <c r="L63" s="162"/>
      <c r="M63" s="162"/>
      <c r="N63" s="96"/>
    </row>
  </sheetData>
  <sheetProtection password="CC59" sheet="1"/>
  <printOptions/>
  <pageMargins left="0.75" right="0.75" top="1" bottom="1" header="0.5" footer="0.5"/>
  <pageSetup fitToHeight="1" fitToWidth="1" horizontalDpi="600" verticalDpi="600" orientation="landscape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3"/>
  <sheetViews>
    <sheetView zoomScalePageLayoutView="0" workbookViewId="0" topLeftCell="A1">
      <selection activeCell="C5" sqref="C5"/>
    </sheetView>
  </sheetViews>
  <sheetFormatPr defaultColWidth="9.140625" defaultRowHeight="12.75"/>
  <cols>
    <col min="1" max="1" width="6.140625" style="1" customWidth="1"/>
    <col min="2" max="2" width="11.8515625" style="1" customWidth="1"/>
    <col min="3" max="4" width="10.28125" style="1" bestFit="1" customWidth="1"/>
    <col min="5" max="5" width="12.28125" style="1" bestFit="1" customWidth="1"/>
    <col min="6" max="6" width="12.28125" style="1" customWidth="1"/>
    <col min="7" max="7" width="11.28125" style="1" bestFit="1" customWidth="1"/>
    <col min="8" max="8" width="13.140625" style="5" customWidth="1"/>
    <col min="9" max="10" width="13.140625" style="1" bestFit="1" customWidth="1"/>
    <col min="11" max="11" width="12.28125" style="1" bestFit="1" customWidth="1"/>
    <col min="12" max="12" width="10.28125" style="1" bestFit="1" customWidth="1"/>
    <col min="13" max="13" width="8.8515625" style="1" customWidth="1"/>
    <col min="14" max="16384" width="9.140625" style="1" customWidth="1"/>
  </cols>
  <sheetData>
    <row r="1" spans="1:7" ht="12.75">
      <c r="A1" s="9" t="s">
        <v>31</v>
      </c>
      <c r="G1" s="99" t="s">
        <v>113</v>
      </c>
    </row>
    <row r="2" spans="1:3" ht="38.25">
      <c r="A2" s="9"/>
      <c r="C2" s="100" t="s">
        <v>120</v>
      </c>
    </row>
    <row r="3" spans="1:8" ht="12.75">
      <c r="A3" s="71" t="s">
        <v>100</v>
      </c>
      <c r="E3" s="78">
        <f>'InputSheet- Non Cal Poly'!G3</f>
        <v>270000</v>
      </c>
      <c r="H3" s="4"/>
    </row>
    <row r="4" spans="1:8" ht="12.75">
      <c r="A4" s="1" t="s">
        <v>2</v>
      </c>
      <c r="E4" s="78">
        <f>'InputSheet- Non Cal Poly'!G4</f>
        <v>13500</v>
      </c>
      <c r="H4" s="4"/>
    </row>
    <row r="5" spans="1:13" ht="12.75">
      <c r="A5" s="1" t="s">
        <v>20</v>
      </c>
      <c r="C5" s="3">
        <f>'InputSheet- Non Cal Poly'!C5</f>
        <v>0.05</v>
      </c>
      <c r="E5" s="78">
        <f>'InputSheet- Non Cal Poly'!G5</f>
        <v>0</v>
      </c>
      <c r="F5" s="71" t="s">
        <v>105</v>
      </c>
      <c r="G5" s="71"/>
      <c r="H5" s="72"/>
      <c r="I5" s="71"/>
      <c r="J5" s="71"/>
      <c r="K5" s="71"/>
      <c r="L5" s="71"/>
      <c r="M5" s="71"/>
    </row>
    <row r="6" spans="1:8" ht="12.75">
      <c r="A6" s="1" t="s">
        <v>10</v>
      </c>
      <c r="C6" s="3">
        <f>'InputSheet- Non Cal Poly'!C6</f>
        <v>0.055</v>
      </c>
      <c r="E6" s="78">
        <f>+E3-E4-E5</f>
        <v>256500</v>
      </c>
      <c r="F6" s="1" t="s">
        <v>45</v>
      </c>
      <c r="H6" s="4"/>
    </row>
    <row r="7" spans="1:8" ht="12.75">
      <c r="A7" s="1" t="s">
        <v>51</v>
      </c>
      <c r="B7" s="1">
        <f>'InputSheet- Non Cal Poly'!B7</f>
        <v>30</v>
      </c>
      <c r="C7" s="3" t="s">
        <v>52</v>
      </c>
      <c r="E7" s="79"/>
      <c r="H7" s="4"/>
    </row>
    <row r="8" spans="1:8" ht="12.75">
      <c r="A8" s="1" t="s">
        <v>6</v>
      </c>
      <c r="E8" s="78">
        <f>+E3*0.0125</f>
        <v>3375</v>
      </c>
      <c r="F8" s="98" t="s">
        <v>119</v>
      </c>
      <c r="G8" s="71"/>
      <c r="H8" s="72"/>
    </row>
    <row r="9" spans="1:8" ht="12.75">
      <c r="A9" s="1" t="s">
        <v>7</v>
      </c>
      <c r="E9" s="78">
        <f>IF(E6,-PMT(C6/12,B7*12,E6),"")</f>
        <v>1456.3787884550613</v>
      </c>
      <c r="H9" s="4"/>
    </row>
    <row r="10" spans="1:8" ht="12.75">
      <c r="A10" s="1" t="s">
        <v>8</v>
      </c>
      <c r="E10" s="78">
        <f>E8/12</f>
        <v>281.25</v>
      </c>
      <c r="H10" s="55" t="s">
        <v>44</v>
      </c>
    </row>
    <row r="11" spans="1:8" ht="12.75">
      <c r="A11" s="1" t="s">
        <v>95</v>
      </c>
      <c r="E11" s="78">
        <v>275</v>
      </c>
      <c r="H11" s="56" t="s">
        <v>33</v>
      </c>
    </row>
    <row r="12" spans="1:9" ht="12.75">
      <c r="A12" s="62" t="s">
        <v>96</v>
      </c>
      <c r="B12" s="62"/>
      <c r="C12" s="62"/>
      <c r="D12" s="62"/>
      <c r="E12" s="80">
        <v>275</v>
      </c>
      <c r="H12" s="57">
        <f>+E9+E10+E11+E13</f>
        <v>2054.298788455061</v>
      </c>
      <c r="I12" s="60" t="s">
        <v>101</v>
      </c>
    </row>
    <row r="13" spans="1:9" ht="12.75">
      <c r="A13" s="62" t="s">
        <v>16</v>
      </c>
      <c r="B13" s="62"/>
      <c r="C13" s="62"/>
      <c r="D13" s="62"/>
      <c r="E13" s="80">
        <v>41.67</v>
      </c>
      <c r="H13" s="63">
        <f>+E9+E10+E12+E13</f>
        <v>2054.298788455061</v>
      </c>
      <c r="I13" s="64" t="s">
        <v>97</v>
      </c>
    </row>
    <row r="14" spans="1:11" ht="12.75">
      <c r="A14" s="62" t="s">
        <v>17</v>
      </c>
      <c r="B14" s="62"/>
      <c r="C14" s="62"/>
      <c r="D14" s="62"/>
      <c r="E14" s="80">
        <v>166.67</v>
      </c>
      <c r="H14" s="63">
        <f>+E9+E10+E12+E14</f>
        <v>2179.298788455061</v>
      </c>
      <c r="I14" s="64" t="s">
        <v>98</v>
      </c>
      <c r="K14" s="2"/>
    </row>
    <row r="15" spans="1:12" ht="12.75">
      <c r="A15" s="62" t="s">
        <v>18</v>
      </c>
      <c r="B15" s="62"/>
      <c r="C15" s="62"/>
      <c r="D15" s="62"/>
      <c r="E15" s="80">
        <v>333.33</v>
      </c>
      <c r="H15" s="65">
        <f>+E9+E10+E12+E15</f>
        <v>2345.9587884550615</v>
      </c>
      <c r="I15" s="66" t="s">
        <v>99</v>
      </c>
      <c r="K15" s="2"/>
      <c r="L15" s="54"/>
    </row>
    <row r="16" spans="5:12" ht="12.75">
      <c r="E16" s="10"/>
      <c r="H16" s="58"/>
      <c r="I16" s="61"/>
      <c r="L16" s="54"/>
    </row>
    <row r="17" spans="5:12" ht="12.75">
      <c r="E17" s="10"/>
      <c r="H17" s="58"/>
      <c r="K17" s="77" t="s">
        <v>102</v>
      </c>
      <c r="L17" s="54"/>
    </row>
    <row r="18" spans="8:12" ht="12.75">
      <c r="H18" s="88"/>
      <c r="I18" s="89"/>
      <c r="J18" s="74" t="s">
        <v>46</v>
      </c>
      <c r="K18" s="77" t="s">
        <v>103</v>
      </c>
      <c r="L18" s="1" t="s">
        <v>94</v>
      </c>
    </row>
    <row r="19" spans="2:12" ht="12.75">
      <c r="B19" s="74" t="s">
        <v>35</v>
      </c>
      <c r="C19" s="71"/>
      <c r="D19" s="62"/>
      <c r="E19" s="62"/>
      <c r="F19" s="68" t="s">
        <v>42</v>
      </c>
      <c r="G19" s="73"/>
      <c r="H19" s="90" t="s">
        <v>39</v>
      </c>
      <c r="I19" s="74" t="s">
        <v>40</v>
      </c>
      <c r="J19" s="73" t="s">
        <v>41</v>
      </c>
      <c r="K19" s="77" t="s">
        <v>104</v>
      </c>
      <c r="L19" s="54">
        <v>0.25</v>
      </c>
    </row>
    <row r="20" spans="2:12" ht="12.75">
      <c r="B20" s="73" t="s">
        <v>11</v>
      </c>
      <c r="C20" s="76" t="s">
        <v>36</v>
      </c>
      <c r="D20" s="67" t="s">
        <v>37</v>
      </c>
      <c r="E20" s="67" t="s">
        <v>38</v>
      </c>
      <c r="F20" s="67" t="s">
        <v>43</v>
      </c>
      <c r="G20" s="77" t="s">
        <v>12</v>
      </c>
      <c r="H20" s="6" t="s">
        <v>26</v>
      </c>
      <c r="I20" s="2" t="s">
        <v>34</v>
      </c>
      <c r="J20" s="2" t="s">
        <v>24</v>
      </c>
      <c r="K20" s="92" t="s">
        <v>29</v>
      </c>
      <c r="L20" s="1" t="s">
        <v>93</v>
      </c>
    </row>
    <row r="21" spans="2:12" ht="12.75">
      <c r="B21" s="73" t="s">
        <v>12</v>
      </c>
      <c r="C21" s="77" t="s">
        <v>9</v>
      </c>
      <c r="D21" s="68" t="s">
        <v>9</v>
      </c>
      <c r="E21" s="68" t="s">
        <v>9</v>
      </c>
      <c r="F21" s="68" t="s">
        <v>19</v>
      </c>
      <c r="G21" s="73" t="s">
        <v>19</v>
      </c>
      <c r="H21" s="4" t="s">
        <v>27</v>
      </c>
      <c r="I21" s="2" t="s">
        <v>21</v>
      </c>
      <c r="J21" s="2" t="s">
        <v>21</v>
      </c>
      <c r="K21" s="92" t="s">
        <v>110</v>
      </c>
      <c r="L21" s="2" t="s">
        <v>48</v>
      </c>
    </row>
    <row r="22" spans="2:12" ht="12.75">
      <c r="B22" s="73" t="s">
        <v>0</v>
      </c>
      <c r="C22" s="77" t="s">
        <v>3</v>
      </c>
      <c r="D22" s="69" t="s">
        <v>5</v>
      </c>
      <c r="E22" s="68" t="s">
        <v>14</v>
      </c>
      <c r="F22" s="68" t="s">
        <v>9</v>
      </c>
      <c r="G22" s="73" t="s">
        <v>9</v>
      </c>
      <c r="H22" s="4" t="s">
        <v>28</v>
      </c>
      <c r="I22" s="2" t="s">
        <v>22</v>
      </c>
      <c r="J22" s="2" t="s">
        <v>22</v>
      </c>
      <c r="K22" s="92" t="s">
        <v>111</v>
      </c>
      <c r="L22" s="2" t="s">
        <v>49</v>
      </c>
    </row>
    <row r="23" spans="1:12" ht="12.75">
      <c r="A23" s="7" t="s">
        <v>13</v>
      </c>
      <c r="B23" s="75" t="s">
        <v>1</v>
      </c>
      <c r="C23" s="86" t="s">
        <v>4</v>
      </c>
      <c r="D23" s="70" t="s">
        <v>32</v>
      </c>
      <c r="E23" s="70" t="s">
        <v>15</v>
      </c>
      <c r="F23" s="70" t="s">
        <v>33</v>
      </c>
      <c r="G23" s="75" t="s">
        <v>47</v>
      </c>
      <c r="H23" s="8" t="s">
        <v>30</v>
      </c>
      <c r="I23" s="7" t="s">
        <v>23</v>
      </c>
      <c r="J23" s="7" t="s">
        <v>25</v>
      </c>
      <c r="K23" s="93" t="s">
        <v>112</v>
      </c>
      <c r="L23" s="7" t="s">
        <v>50</v>
      </c>
    </row>
    <row r="24" spans="1:12" ht="12.75">
      <c r="A24" s="1">
        <v>1</v>
      </c>
      <c r="B24" s="81">
        <f>+E9*12</f>
        <v>17476.545461460737</v>
      </c>
      <c r="C24" s="87">
        <f>(+E10*12)</f>
        <v>3375</v>
      </c>
      <c r="D24" s="80">
        <f>+E11*12</f>
        <v>3300</v>
      </c>
      <c r="E24" s="80">
        <f>+E13*12</f>
        <v>500.04</v>
      </c>
      <c r="F24" s="82">
        <f>SUM(B24:E24)</f>
        <v>24651.585461460738</v>
      </c>
      <c r="G24" s="83">
        <f>'DataCalculations-Cal Poly'!I23</f>
        <v>12364.960000000001</v>
      </c>
      <c r="H24" s="84">
        <f>'DataCalculations-Cal Poly'!J23</f>
        <v>223152.87999999998</v>
      </c>
      <c r="I24" s="78">
        <f>+E5*1.05</f>
        <v>0</v>
      </c>
      <c r="J24" s="78">
        <f>+E3*1.02</f>
        <v>275400</v>
      </c>
      <c r="K24" s="91">
        <f aca="true" t="shared" si="0" ref="K24:K53">+J24-H24-I24</f>
        <v>52247.120000000024</v>
      </c>
      <c r="L24" s="78">
        <f>(G24+C24)*0.25</f>
        <v>3934.9900000000002</v>
      </c>
    </row>
    <row r="25" spans="1:12" ht="12.75">
      <c r="A25" s="1">
        <f>+A24+1</f>
        <v>2</v>
      </c>
      <c r="B25" s="81">
        <f aca="true" t="shared" si="1" ref="B25:E28">+B24</f>
        <v>17476.545461460737</v>
      </c>
      <c r="C25" s="87">
        <f>C24*1.02</f>
        <v>3442.5</v>
      </c>
      <c r="D25" s="80">
        <f t="shared" si="1"/>
        <v>3300</v>
      </c>
      <c r="E25" s="80">
        <f t="shared" si="1"/>
        <v>500.04</v>
      </c>
      <c r="F25" s="85">
        <f aca="true" t="shared" si="2" ref="F25:F53">SUM(B25:E25)</f>
        <v>24719.085461460738</v>
      </c>
      <c r="G25" s="83">
        <f>'DataCalculations-Cal Poly'!F27</f>
        <v>12193.304965523606</v>
      </c>
      <c r="H25" s="84">
        <f>'DataCalculations-Cal Poly'!I27</f>
        <v>219934.10496552358</v>
      </c>
      <c r="I25" s="78">
        <f>+I24*1.05</f>
        <v>0</v>
      </c>
      <c r="J25" s="78">
        <f>+J24*1.02</f>
        <v>280908</v>
      </c>
      <c r="K25" s="91">
        <f t="shared" si="0"/>
        <v>60973.895034476416</v>
      </c>
      <c r="L25" s="78">
        <f aca="true" t="shared" si="3" ref="L25:L53">(G25+C25)*0.25</f>
        <v>3908.9512413809016</v>
      </c>
    </row>
    <row r="26" spans="1:12" ht="12.75">
      <c r="A26" s="1">
        <f aca="true" t="shared" si="4" ref="A26:A52">+A25+1</f>
        <v>3</v>
      </c>
      <c r="B26" s="81">
        <f t="shared" si="1"/>
        <v>17476.545461460737</v>
      </c>
      <c r="C26" s="87">
        <f aca="true" t="shared" si="5" ref="C26:C53">C25*1.02</f>
        <v>3511.35</v>
      </c>
      <c r="D26" s="80">
        <f t="shared" si="1"/>
        <v>3300</v>
      </c>
      <c r="E26" s="80">
        <f t="shared" si="1"/>
        <v>500.04</v>
      </c>
      <c r="F26" s="85">
        <f t="shared" si="2"/>
        <v>24787.935461460736</v>
      </c>
      <c r="G26" s="83">
        <f>'DataCalculations-Cal Poly'!F28</f>
        <v>12011.502161627443</v>
      </c>
      <c r="H26" s="84">
        <f>'DataCalculations-Cal Poly'!I28</f>
        <v>216533.52712715103</v>
      </c>
      <c r="I26" s="78">
        <f aca="true" t="shared" si="6" ref="I26:I53">+I25*1.05</f>
        <v>0</v>
      </c>
      <c r="J26" s="78">
        <f aca="true" t="shared" si="7" ref="J26:J53">+J25*1.02</f>
        <v>286526.16000000003</v>
      </c>
      <c r="K26" s="91">
        <f t="shared" si="0"/>
        <v>69992.632872849</v>
      </c>
      <c r="L26" s="78">
        <f t="shared" si="3"/>
        <v>3880.7130404068607</v>
      </c>
    </row>
    <row r="27" spans="1:12" ht="12.75">
      <c r="A27" s="1">
        <f t="shared" si="4"/>
        <v>4</v>
      </c>
      <c r="B27" s="81">
        <f t="shared" si="1"/>
        <v>17476.545461460737</v>
      </c>
      <c r="C27" s="87">
        <f t="shared" si="5"/>
        <v>3581.5769999999998</v>
      </c>
      <c r="D27" s="80">
        <f>+E12*12</f>
        <v>3300</v>
      </c>
      <c r="E27" s="80">
        <f t="shared" si="1"/>
        <v>500.04</v>
      </c>
      <c r="F27" s="85">
        <f t="shared" si="2"/>
        <v>24858.16246146074</v>
      </c>
      <c r="G27" s="83">
        <f>'DataCalculations-Cal Poly'!F29</f>
        <v>11819.682841690355</v>
      </c>
      <c r="H27" s="84">
        <f>'DataCalculations-Cal Poly'!I29</f>
        <v>212941.1299688414</v>
      </c>
      <c r="I27" s="78">
        <f t="shared" si="6"/>
        <v>0</v>
      </c>
      <c r="J27" s="78">
        <f t="shared" si="7"/>
        <v>292256.6832</v>
      </c>
      <c r="K27" s="91">
        <f t="shared" si="0"/>
        <v>79315.55323115864</v>
      </c>
      <c r="L27" s="78">
        <f t="shared" si="3"/>
        <v>3850.3149604225887</v>
      </c>
    </row>
    <row r="28" spans="1:12" ht="12.75">
      <c r="A28" s="1">
        <f t="shared" si="4"/>
        <v>5</v>
      </c>
      <c r="B28" s="81">
        <f t="shared" si="1"/>
        <v>17476.545461460737</v>
      </c>
      <c r="C28" s="87">
        <f t="shared" si="5"/>
        <v>3653.2085399999996</v>
      </c>
      <c r="D28" s="80">
        <f t="shared" si="1"/>
        <v>3300</v>
      </c>
      <c r="E28" s="80">
        <f t="shared" si="1"/>
        <v>500.04</v>
      </c>
      <c r="F28" s="85">
        <f t="shared" si="2"/>
        <v>24929.794001460737</v>
      </c>
      <c r="G28" s="83">
        <f>'DataCalculations-Cal Poly'!F30</f>
        <v>11617.04340433505</v>
      </c>
      <c r="H28" s="84">
        <f>'DataCalculations-Cal Poly'!I30</f>
        <v>209146.09337317644</v>
      </c>
      <c r="I28" s="78">
        <f t="shared" si="6"/>
        <v>0</v>
      </c>
      <c r="J28" s="78">
        <f t="shared" si="7"/>
        <v>298101.81686400005</v>
      </c>
      <c r="K28" s="91">
        <f t="shared" si="0"/>
        <v>88955.72349082361</v>
      </c>
      <c r="L28" s="78">
        <f t="shared" si="3"/>
        <v>3817.5629860837626</v>
      </c>
    </row>
    <row r="29" spans="1:12" ht="12.75">
      <c r="A29" s="1">
        <f t="shared" si="4"/>
        <v>6</v>
      </c>
      <c r="B29" s="81">
        <f aca="true" t="shared" si="8" ref="B29:D31">+B28</f>
        <v>17476.545461460737</v>
      </c>
      <c r="C29" s="87">
        <f t="shared" si="5"/>
        <v>3726.2727108</v>
      </c>
      <c r="D29" s="80">
        <f t="shared" si="8"/>
        <v>3300</v>
      </c>
      <c r="E29" s="80">
        <f>+E14*12</f>
        <v>2000.04</v>
      </c>
      <c r="F29" s="85">
        <f t="shared" si="2"/>
        <v>26502.858172260738</v>
      </c>
      <c r="G29" s="83">
        <f>'DataCalculations-Cal Poly'!F31</f>
        <v>11402.973509888758</v>
      </c>
      <c r="H29" s="84">
        <f>'DataCalculations-Cal Poly'!I31</f>
        <v>205136.9868830652</v>
      </c>
      <c r="I29" s="78">
        <f t="shared" si="6"/>
        <v>0</v>
      </c>
      <c r="J29" s="78">
        <f t="shared" si="7"/>
        <v>304063.85320128006</v>
      </c>
      <c r="K29" s="91">
        <f t="shared" si="0"/>
        <v>98926.86631821486</v>
      </c>
      <c r="L29" s="78">
        <f t="shared" si="3"/>
        <v>3782.3115551721894</v>
      </c>
    </row>
    <row r="30" spans="1:12" ht="12.75">
      <c r="A30" s="1">
        <f t="shared" si="4"/>
        <v>7</v>
      </c>
      <c r="B30" s="81">
        <f t="shared" si="8"/>
        <v>17476.545461460737</v>
      </c>
      <c r="C30" s="87">
        <f t="shared" si="5"/>
        <v>3800.798165016</v>
      </c>
      <c r="D30" s="80">
        <f t="shared" si="8"/>
        <v>3300</v>
      </c>
      <c r="E30" s="80">
        <f>+E29</f>
        <v>2000.04</v>
      </c>
      <c r="F30" s="85">
        <f t="shared" si="2"/>
        <v>26577.383626476738</v>
      </c>
      <c r="G30" s="83">
        <f>'DataCalculations-Cal Poly'!F32</f>
        <v>11176.828390723804</v>
      </c>
      <c r="H30" s="84">
        <f>'DataCalculations-Cal Poly'!I32</f>
        <v>200901.735273789</v>
      </c>
      <c r="I30" s="78">
        <f t="shared" si="6"/>
        <v>0</v>
      </c>
      <c r="J30" s="78">
        <f t="shared" si="7"/>
        <v>310145.1302653057</v>
      </c>
      <c r="K30" s="91">
        <f t="shared" si="0"/>
        <v>109243.39499151669</v>
      </c>
      <c r="L30" s="78">
        <f t="shared" si="3"/>
        <v>3744.406638934951</v>
      </c>
    </row>
    <row r="31" spans="1:12" ht="12.75">
      <c r="A31" s="1">
        <f t="shared" si="4"/>
        <v>8</v>
      </c>
      <c r="B31" s="81">
        <f t="shared" si="8"/>
        <v>17476.545461460737</v>
      </c>
      <c r="C31" s="87">
        <f t="shared" si="5"/>
        <v>3876.81412831632</v>
      </c>
      <c r="D31" s="80">
        <f t="shared" si="8"/>
        <v>3300</v>
      </c>
      <c r="E31" s="80">
        <f>+E30</f>
        <v>2000.04</v>
      </c>
      <c r="F31" s="85">
        <f t="shared" si="2"/>
        <v>26653.39958977706</v>
      </c>
      <c r="G31" s="83">
        <f>'DataCalculations-Cal Poly'!F33</f>
        <v>10937.926909250218</v>
      </c>
      <c r="H31" s="84">
        <f>'DataCalculations-Cal Poly'!I33</f>
        <v>196427.58218303922</v>
      </c>
      <c r="I31" s="78">
        <f t="shared" si="6"/>
        <v>0</v>
      </c>
      <c r="J31" s="78">
        <f t="shared" si="7"/>
        <v>316348.0328706118</v>
      </c>
      <c r="K31" s="91">
        <f t="shared" si="0"/>
        <v>119920.4506875726</v>
      </c>
      <c r="L31" s="78">
        <f t="shared" si="3"/>
        <v>3703.6852593916346</v>
      </c>
    </row>
    <row r="32" spans="1:12" ht="12.75">
      <c r="A32" s="1">
        <f t="shared" si="4"/>
        <v>9</v>
      </c>
      <c r="B32" s="81">
        <f aca="true" t="shared" si="9" ref="B32:B53">+B31</f>
        <v>17476.545461460737</v>
      </c>
      <c r="C32" s="87">
        <f t="shared" si="5"/>
        <v>3954.3504108826464</v>
      </c>
      <c r="D32" s="80">
        <f aca="true" t="shared" si="10" ref="D32:D53">+D31</f>
        <v>3300</v>
      </c>
      <c r="E32" s="80">
        <f>+E15*12</f>
        <v>3999.96</v>
      </c>
      <c r="F32" s="85">
        <f t="shared" si="2"/>
        <v>28730.85587234338</v>
      </c>
      <c r="G32" s="83">
        <f>'DataCalculations-Cal Poly'!F34</f>
        <v>10685.549506363644</v>
      </c>
      <c r="H32" s="84">
        <f>'DataCalculations-Cal Poly'!I34</f>
        <v>191701.05168940287</v>
      </c>
      <c r="I32" s="78">
        <f t="shared" si="6"/>
        <v>0</v>
      </c>
      <c r="J32" s="78">
        <f t="shared" si="7"/>
        <v>322674.99352802406</v>
      </c>
      <c r="K32" s="91">
        <f t="shared" si="0"/>
        <v>130973.94183862119</v>
      </c>
      <c r="L32" s="78">
        <f t="shared" si="3"/>
        <v>3659.9749793115725</v>
      </c>
    </row>
    <row r="33" spans="1:12" ht="12.75">
      <c r="A33" s="1">
        <f t="shared" si="4"/>
        <v>10</v>
      </c>
      <c r="B33" s="81">
        <f t="shared" si="9"/>
        <v>17476.545461460737</v>
      </c>
      <c r="C33" s="87">
        <f t="shared" si="5"/>
        <v>4033.4374191002994</v>
      </c>
      <c r="D33" s="80">
        <f t="shared" si="10"/>
        <v>3300</v>
      </c>
      <c r="E33" s="80">
        <f aca="true" t="shared" si="11" ref="E33:E53">+E32</f>
        <v>3999.96</v>
      </c>
      <c r="F33" s="85">
        <f t="shared" si="2"/>
        <v>28809.942880561037</v>
      </c>
      <c r="G33" s="83">
        <f>'DataCalculations-Cal Poly'!F35</f>
        <v>10418.93603417063</v>
      </c>
      <c r="H33" s="84">
        <f>'DataCalculations-Cal Poly'!I35</f>
        <v>186707.9077235735</v>
      </c>
      <c r="I33" s="78">
        <f t="shared" si="6"/>
        <v>0</v>
      </c>
      <c r="J33" s="78">
        <f t="shared" si="7"/>
        <v>329128.49339858454</v>
      </c>
      <c r="K33" s="91">
        <f t="shared" si="0"/>
        <v>142420.58567501104</v>
      </c>
      <c r="L33" s="78">
        <f t="shared" si="3"/>
        <v>3613.0933633177324</v>
      </c>
    </row>
    <row r="34" spans="1:12" ht="12.75">
      <c r="A34" s="1">
        <f t="shared" si="4"/>
        <v>11</v>
      </c>
      <c r="B34" s="81">
        <f t="shared" si="9"/>
        <v>17476.545461460737</v>
      </c>
      <c r="C34" s="87">
        <f t="shared" si="5"/>
        <v>4114.106167482306</v>
      </c>
      <c r="D34" s="80">
        <f t="shared" si="10"/>
        <v>3300</v>
      </c>
      <c r="E34" s="80">
        <f t="shared" si="11"/>
        <v>3999.96</v>
      </c>
      <c r="F34" s="85">
        <f t="shared" si="2"/>
        <v>28890.611628943043</v>
      </c>
      <c r="G34" s="83">
        <f>'DataCalculations-Cal Poly'!F36</f>
        <v>10137.283466461271</v>
      </c>
      <c r="H34" s="84">
        <f>'DataCalculations-Cal Poly'!I36</f>
        <v>181433.11119003478</v>
      </c>
      <c r="I34" s="78">
        <f t="shared" si="6"/>
        <v>0</v>
      </c>
      <c r="J34" s="78">
        <f t="shared" si="7"/>
        <v>335711.06326655624</v>
      </c>
      <c r="K34" s="91">
        <f t="shared" si="0"/>
        <v>154277.95207652147</v>
      </c>
      <c r="L34" s="78">
        <f t="shared" si="3"/>
        <v>3562.8474084858944</v>
      </c>
    </row>
    <row r="35" spans="1:12" ht="12.75">
      <c r="A35" s="1">
        <f t="shared" si="4"/>
        <v>12</v>
      </c>
      <c r="B35" s="81">
        <f t="shared" si="9"/>
        <v>17476.545461460737</v>
      </c>
      <c r="C35" s="87">
        <f t="shared" si="5"/>
        <v>4196.388290831952</v>
      </c>
      <c r="D35" s="80">
        <f t="shared" si="10"/>
        <v>3300</v>
      </c>
      <c r="E35" s="80">
        <f t="shared" si="11"/>
        <v>3999.96</v>
      </c>
      <c r="F35" s="85">
        <f t="shared" si="2"/>
        <v>28972.893752292686</v>
      </c>
      <c r="G35" s="83">
        <f>'DataCalculations-Cal Poly'!F37</f>
        <v>9839.74348003529</v>
      </c>
      <c r="H35" s="84">
        <f>'DataCalculations-Cal Poly'!I37</f>
        <v>175860.77467007007</v>
      </c>
      <c r="I35" s="78">
        <f t="shared" si="6"/>
        <v>0</v>
      </c>
      <c r="J35" s="78">
        <f t="shared" si="7"/>
        <v>342425.2845318874</v>
      </c>
      <c r="K35" s="91">
        <f t="shared" si="0"/>
        <v>166564.50986181732</v>
      </c>
      <c r="L35" s="78">
        <f t="shared" si="3"/>
        <v>3509.0329427168103</v>
      </c>
    </row>
    <row r="36" spans="1:12" ht="12.75">
      <c r="A36" s="1">
        <f t="shared" si="4"/>
        <v>13</v>
      </c>
      <c r="B36" s="81">
        <f t="shared" si="9"/>
        <v>17476.545461460737</v>
      </c>
      <c r="C36" s="87">
        <f t="shared" si="5"/>
        <v>4280.316056648591</v>
      </c>
      <c r="D36" s="80">
        <f t="shared" si="10"/>
        <v>3300</v>
      </c>
      <c r="E36" s="80">
        <f t="shared" si="11"/>
        <v>3999.96</v>
      </c>
      <c r="F36" s="85">
        <f t="shared" si="2"/>
        <v>29056.821518109326</v>
      </c>
      <c r="G36" s="83">
        <f>'DataCalculations-Cal Poly'!F38</f>
        <v>9525.419899595912</v>
      </c>
      <c r="H36" s="84">
        <f>'DataCalculations-Cal Poly'!I38</f>
        <v>169974.11456966598</v>
      </c>
      <c r="I36" s="78">
        <f t="shared" si="6"/>
        <v>0</v>
      </c>
      <c r="J36" s="78">
        <f t="shared" si="7"/>
        <v>349273.79022252513</v>
      </c>
      <c r="K36" s="91">
        <f t="shared" si="0"/>
        <v>179299.67565285915</v>
      </c>
      <c r="L36" s="78">
        <f t="shared" si="3"/>
        <v>3451.433989061126</v>
      </c>
    </row>
    <row r="37" spans="1:12" ht="12.75">
      <c r="A37" s="1">
        <f t="shared" si="4"/>
        <v>14</v>
      </c>
      <c r="B37" s="81">
        <f t="shared" si="9"/>
        <v>17476.545461460737</v>
      </c>
      <c r="C37" s="87">
        <f t="shared" si="5"/>
        <v>4365.922377781563</v>
      </c>
      <c r="D37" s="80">
        <f t="shared" si="10"/>
        <v>3300</v>
      </c>
      <c r="E37" s="80">
        <f t="shared" si="11"/>
        <v>3999.96</v>
      </c>
      <c r="F37" s="85">
        <f t="shared" si="2"/>
        <v>29142.4278392423</v>
      </c>
      <c r="G37" s="83">
        <f>'DataCalculations-Cal Poly'!F39</f>
        <v>9193.3659985152</v>
      </c>
      <c r="H37" s="84">
        <f>'DataCalculations-Cal Poly'!I39</f>
        <v>163755.40056818118</v>
      </c>
      <c r="I37" s="78">
        <f t="shared" si="6"/>
        <v>0</v>
      </c>
      <c r="J37" s="78">
        <f t="shared" si="7"/>
        <v>356259.26602697565</v>
      </c>
      <c r="K37" s="91">
        <f t="shared" si="0"/>
        <v>192503.86545879446</v>
      </c>
      <c r="L37" s="78">
        <f t="shared" si="3"/>
        <v>3389.822094074191</v>
      </c>
    </row>
    <row r="38" spans="1:12" ht="12.75">
      <c r="A38" s="1">
        <f t="shared" si="4"/>
        <v>15</v>
      </c>
      <c r="B38" s="81">
        <f t="shared" si="9"/>
        <v>17476.545461460737</v>
      </c>
      <c r="C38" s="87">
        <f t="shared" si="5"/>
        <v>4453.240825337195</v>
      </c>
      <c r="D38" s="80">
        <f t="shared" si="10"/>
        <v>3300</v>
      </c>
      <c r="E38" s="80">
        <f t="shared" si="11"/>
        <v>3999.96</v>
      </c>
      <c r="F38" s="85">
        <f t="shared" si="2"/>
        <v>29229.74628679793</v>
      </c>
      <c r="G38" s="83">
        <f>'DataCalculations-Cal Poly'!F40</f>
        <v>8842.581647341878</v>
      </c>
      <c r="H38" s="84">
        <f>'DataCalculations-Cal Poly'!I40</f>
        <v>157185.90221552306</v>
      </c>
      <c r="I38" s="78">
        <f t="shared" si="6"/>
        <v>0</v>
      </c>
      <c r="J38" s="78">
        <f t="shared" si="7"/>
        <v>363384.45134751516</v>
      </c>
      <c r="K38" s="91">
        <f t="shared" si="0"/>
        <v>206198.5491319921</v>
      </c>
      <c r="L38" s="78">
        <f t="shared" si="3"/>
        <v>3323.955618169768</v>
      </c>
    </row>
    <row r="39" spans="1:12" ht="12.75">
      <c r="A39" s="1">
        <f t="shared" si="4"/>
        <v>16</v>
      </c>
      <c r="B39" s="81">
        <f t="shared" si="9"/>
        <v>17476.545461460737</v>
      </c>
      <c r="C39" s="87">
        <f t="shared" si="5"/>
        <v>4542.305641843939</v>
      </c>
      <c r="D39" s="80">
        <f t="shared" si="10"/>
        <v>3300</v>
      </c>
      <c r="E39" s="80">
        <f t="shared" si="11"/>
        <v>3999.96</v>
      </c>
      <c r="F39" s="85">
        <f t="shared" si="2"/>
        <v>29318.811103304673</v>
      </c>
      <c r="G39" s="83">
        <f>'DataCalculations-Cal Poly'!F41</f>
        <v>8472.010301462124</v>
      </c>
      <c r="H39" s="84">
        <f>'DataCalculations-Cal Poly'!I41</f>
        <v>150245.8325169852</v>
      </c>
      <c r="I39" s="78">
        <f t="shared" si="6"/>
        <v>0</v>
      </c>
      <c r="J39" s="78">
        <f t="shared" si="7"/>
        <v>370652.1403744655</v>
      </c>
      <c r="K39" s="91">
        <f t="shared" si="0"/>
        <v>220406.3078574803</v>
      </c>
      <c r="L39" s="78">
        <f t="shared" si="3"/>
        <v>3253.5789858265157</v>
      </c>
    </row>
    <row r="40" spans="1:12" ht="12.75">
      <c r="A40" s="1">
        <f>+A39+1</f>
        <v>17</v>
      </c>
      <c r="B40" s="81">
        <f t="shared" si="9"/>
        <v>17476.545461460737</v>
      </c>
      <c r="C40" s="87">
        <f t="shared" si="5"/>
        <v>4633.151754680818</v>
      </c>
      <c r="D40" s="80">
        <f t="shared" si="10"/>
        <v>3300</v>
      </c>
      <c r="E40" s="80">
        <f t="shared" si="11"/>
        <v>3999.96</v>
      </c>
      <c r="F40" s="85">
        <f t="shared" si="2"/>
        <v>29409.657216141553</v>
      </c>
      <c r="G40" s="83">
        <f>'DataCalculations-Cal Poly'!F42</f>
        <v>8080.535818841145</v>
      </c>
      <c r="H40" s="84">
        <f>'DataCalculations-Cal Poly'!I42</f>
        <v>142914.28833582634</v>
      </c>
      <c r="I40" s="78">
        <f t="shared" si="6"/>
        <v>0</v>
      </c>
      <c r="J40" s="78">
        <f t="shared" si="7"/>
        <v>378065.18318195484</v>
      </c>
      <c r="K40" s="91">
        <f t="shared" si="0"/>
        <v>235150.8948461285</v>
      </c>
      <c r="L40" s="78">
        <f t="shared" si="3"/>
        <v>3178.4218933804905</v>
      </c>
    </row>
    <row r="41" spans="1:12" ht="12.75">
      <c r="A41" s="1">
        <f t="shared" si="4"/>
        <v>18</v>
      </c>
      <c r="B41" s="81">
        <f t="shared" si="9"/>
        <v>17476.545461460737</v>
      </c>
      <c r="C41" s="87">
        <f t="shared" si="5"/>
        <v>4725.814789774435</v>
      </c>
      <c r="D41" s="80">
        <f t="shared" si="10"/>
        <v>3300</v>
      </c>
      <c r="E41" s="80">
        <f t="shared" si="11"/>
        <v>3999.96</v>
      </c>
      <c r="F41" s="85">
        <f t="shared" si="2"/>
        <v>29502.32025123517</v>
      </c>
      <c r="G41" s="83">
        <f>'DataCalculations-Cal Poly'!F43</f>
        <v>7666.979098259919</v>
      </c>
      <c r="H41" s="84">
        <f>'DataCalculations-Cal Poly'!I43</f>
        <v>135169.18743408626</v>
      </c>
      <c r="I41" s="78">
        <f t="shared" si="6"/>
        <v>0</v>
      </c>
      <c r="J41" s="78">
        <f t="shared" si="7"/>
        <v>385626.48684559396</v>
      </c>
      <c r="K41" s="91">
        <f t="shared" si="0"/>
        <v>250457.2994115077</v>
      </c>
      <c r="L41" s="78">
        <f t="shared" si="3"/>
        <v>3098.1984720085884</v>
      </c>
    </row>
    <row r="42" spans="1:12" ht="12.75">
      <c r="A42" s="1">
        <f t="shared" si="4"/>
        <v>19</v>
      </c>
      <c r="B42" s="81">
        <f t="shared" si="9"/>
        <v>17476.545461460737</v>
      </c>
      <c r="C42" s="87">
        <f t="shared" si="5"/>
        <v>4820.331085569924</v>
      </c>
      <c r="D42" s="80">
        <f t="shared" si="10"/>
        <v>3300</v>
      </c>
      <c r="E42" s="80">
        <f t="shared" si="11"/>
        <v>3999.96</v>
      </c>
      <c r="F42" s="85">
        <f t="shared" si="2"/>
        <v>29596.83654703066</v>
      </c>
      <c r="G42" s="83">
        <f>'DataCalculations-Cal Poly'!F44</f>
        <v>7230.094527922698</v>
      </c>
      <c r="H42" s="84">
        <f>'DataCalculations-Cal Poly'!I44</f>
        <v>126987.20196200896</v>
      </c>
      <c r="I42" s="78">
        <f t="shared" si="6"/>
        <v>0</v>
      </c>
      <c r="J42" s="78">
        <f t="shared" si="7"/>
        <v>393339.01658250584</v>
      </c>
      <c r="K42" s="91">
        <f t="shared" si="0"/>
        <v>266351.8146204969</v>
      </c>
      <c r="L42" s="78">
        <f t="shared" si="3"/>
        <v>3012.6064033731554</v>
      </c>
    </row>
    <row r="43" spans="1:12" ht="12.75">
      <c r="A43" s="1">
        <f t="shared" si="4"/>
        <v>20</v>
      </c>
      <c r="B43" s="81">
        <f t="shared" si="9"/>
        <v>17476.545461460737</v>
      </c>
      <c r="C43" s="87">
        <f t="shared" si="5"/>
        <v>4916.737707281322</v>
      </c>
      <c r="D43" s="80">
        <f t="shared" si="10"/>
        <v>3300</v>
      </c>
      <c r="E43" s="80">
        <f t="shared" si="11"/>
        <v>3999.96</v>
      </c>
      <c r="F43" s="85">
        <f t="shared" si="2"/>
        <v>29693.243168742058</v>
      </c>
      <c r="G43" s="83">
        <f>'DataCalculations-Cal Poly'!F45</f>
        <v>6768.566233737274</v>
      </c>
      <c r="H43" s="84">
        <f>'DataCalculations-Cal Poly'!I45</f>
        <v>118343.68819574623</v>
      </c>
      <c r="I43" s="78">
        <f t="shared" si="6"/>
        <v>0</v>
      </c>
      <c r="J43" s="78">
        <f t="shared" si="7"/>
        <v>401205.79691415594</v>
      </c>
      <c r="K43" s="91">
        <f t="shared" si="0"/>
        <v>282862.1087184097</v>
      </c>
      <c r="L43" s="78">
        <f t="shared" si="3"/>
        <v>2921.325985254649</v>
      </c>
    </row>
    <row r="44" spans="1:12" ht="12.75">
      <c r="A44" s="1">
        <f t="shared" si="4"/>
        <v>21</v>
      </c>
      <c r="B44" s="81">
        <f t="shared" si="9"/>
        <v>17476.545461460737</v>
      </c>
      <c r="C44" s="87">
        <f t="shared" si="5"/>
        <v>5015.072461426949</v>
      </c>
      <c r="D44" s="80">
        <f t="shared" si="10"/>
        <v>3300</v>
      </c>
      <c r="E44" s="80">
        <f t="shared" si="11"/>
        <v>3999.96</v>
      </c>
      <c r="F44" s="85">
        <f t="shared" si="2"/>
        <v>29791.577922887685</v>
      </c>
      <c r="G44" s="83">
        <f>'DataCalculations-Cal Poly'!F46</f>
        <v>6281.004115969463</v>
      </c>
      <c r="H44" s="84">
        <f>'DataCalculations-Cal Poly'!I46</f>
        <v>109212.6123117157</v>
      </c>
      <c r="I44" s="78">
        <f t="shared" si="6"/>
        <v>0</v>
      </c>
      <c r="J44" s="78">
        <f t="shared" si="7"/>
        <v>409229.9128524391</v>
      </c>
      <c r="K44" s="91">
        <f t="shared" si="0"/>
        <v>300017.3005407234</v>
      </c>
      <c r="L44" s="78">
        <f t="shared" si="3"/>
        <v>2824.019144349103</v>
      </c>
    </row>
    <row r="45" spans="1:12" ht="12.75">
      <c r="A45" s="1">
        <f t="shared" si="4"/>
        <v>22</v>
      </c>
      <c r="B45" s="81">
        <f t="shared" si="9"/>
        <v>17476.545461460737</v>
      </c>
      <c r="C45" s="87">
        <f t="shared" si="5"/>
        <v>5115.3739106554885</v>
      </c>
      <c r="D45" s="80">
        <f t="shared" si="10"/>
        <v>3300</v>
      </c>
      <c r="E45" s="80">
        <f t="shared" si="11"/>
        <v>3999.96</v>
      </c>
      <c r="F45" s="85">
        <f t="shared" si="2"/>
        <v>29891.879372116226</v>
      </c>
      <c r="G45" s="83">
        <f>'DataCalculations-Cal Poly'!F47</f>
        <v>5765.939662333385</v>
      </c>
      <c r="H45" s="84">
        <f>'DataCalculations-Cal Poly'!I47</f>
        <v>99566.47197404908</v>
      </c>
      <c r="I45" s="78">
        <f t="shared" si="6"/>
        <v>0</v>
      </c>
      <c r="J45" s="78">
        <f t="shared" si="7"/>
        <v>417414.5111094879</v>
      </c>
      <c r="K45" s="91">
        <f t="shared" si="0"/>
        <v>317848.03913543886</v>
      </c>
      <c r="L45" s="78">
        <f t="shared" si="3"/>
        <v>2720.3283932472186</v>
      </c>
    </row>
    <row r="46" spans="1:12" ht="12.75">
      <c r="A46" s="1">
        <f t="shared" si="4"/>
        <v>23</v>
      </c>
      <c r="B46" s="81">
        <f t="shared" si="9"/>
        <v>17476.545461460737</v>
      </c>
      <c r="C46" s="87">
        <f t="shared" si="5"/>
        <v>5217.681388868598</v>
      </c>
      <c r="D46" s="80">
        <f t="shared" si="10"/>
        <v>3300</v>
      </c>
      <c r="E46" s="80">
        <f t="shared" si="11"/>
        <v>3999.96</v>
      </c>
      <c r="F46" s="85">
        <f t="shared" si="2"/>
        <v>29994.186850329334</v>
      </c>
      <c r="G46" s="83">
        <f>'DataCalculations-Cal Poly'!F48</f>
        <v>5221.8215249069435</v>
      </c>
      <c r="H46" s="84">
        <f>'DataCalculations-Cal Poly'!I48</f>
        <v>89376.21349895603</v>
      </c>
      <c r="I46" s="78">
        <f t="shared" si="6"/>
        <v>0</v>
      </c>
      <c r="J46" s="78">
        <f t="shared" si="7"/>
        <v>425762.80133167765</v>
      </c>
      <c r="K46" s="91">
        <f t="shared" si="0"/>
        <v>336386.58783272165</v>
      </c>
      <c r="L46" s="78">
        <f t="shared" si="3"/>
        <v>2609.8757284438852</v>
      </c>
    </row>
    <row r="47" spans="1:12" ht="12.75">
      <c r="A47" s="1">
        <f t="shared" si="4"/>
        <v>24</v>
      </c>
      <c r="B47" s="81">
        <f t="shared" si="9"/>
        <v>17476.545461460737</v>
      </c>
      <c r="C47" s="87">
        <f t="shared" si="5"/>
        <v>5322.03501664597</v>
      </c>
      <c r="D47" s="80">
        <f t="shared" si="10"/>
        <v>3300</v>
      </c>
      <c r="E47" s="80">
        <f t="shared" si="11"/>
        <v>3999.96</v>
      </c>
      <c r="F47" s="85">
        <f t="shared" si="2"/>
        <v>30098.540478106705</v>
      </c>
      <c r="G47" s="83">
        <f>'DataCalculations-Cal Poly'!F49</f>
        <v>4647.010847551424</v>
      </c>
      <c r="H47" s="84">
        <f>'DataCalculations-Cal Poly'!I49</f>
        <v>78611.14434650746</v>
      </c>
      <c r="I47" s="78">
        <f t="shared" si="6"/>
        <v>0</v>
      </c>
      <c r="J47" s="78">
        <f t="shared" si="7"/>
        <v>434278.0573583112</v>
      </c>
      <c r="K47" s="91">
        <f t="shared" si="0"/>
        <v>355666.91301180376</v>
      </c>
      <c r="L47" s="78">
        <f t="shared" si="3"/>
        <v>2492.2614660493487</v>
      </c>
    </row>
    <row r="48" spans="1:12" ht="12.75">
      <c r="A48" s="1">
        <f t="shared" si="4"/>
        <v>25</v>
      </c>
      <c r="B48" s="81">
        <f t="shared" si="9"/>
        <v>17476.545461460737</v>
      </c>
      <c r="C48" s="87">
        <f t="shared" si="5"/>
        <v>5428.47571697889</v>
      </c>
      <c r="D48" s="80">
        <f t="shared" si="10"/>
        <v>3300</v>
      </c>
      <c r="E48" s="80">
        <f t="shared" si="11"/>
        <v>3999.96</v>
      </c>
      <c r="F48" s="85">
        <f t="shared" si="2"/>
        <v>30204.981178439626</v>
      </c>
      <c r="G48" s="83">
        <f>'DataCalculations-Cal Poly'!F50</f>
        <v>4039.7763297594174</v>
      </c>
      <c r="H48" s="84">
        <f>'DataCalculations-Cal Poly'!I50</f>
        <v>67238.84067626687</v>
      </c>
      <c r="I48" s="78">
        <f t="shared" si="6"/>
        <v>0</v>
      </c>
      <c r="J48" s="78">
        <f t="shared" si="7"/>
        <v>442963.61850547744</v>
      </c>
      <c r="K48" s="91">
        <f t="shared" si="0"/>
        <v>375724.77782921056</v>
      </c>
      <c r="L48" s="78">
        <f t="shared" si="3"/>
        <v>2367.063011684577</v>
      </c>
    </row>
    <row r="49" spans="1:12" ht="12.75">
      <c r="A49" s="1">
        <f t="shared" si="4"/>
        <v>26</v>
      </c>
      <c r="B49" s="81">
        <f t="shared" si="9"/>
        <v>17476.545461460737</v>
      </c>
      <c r="C49" s="87">
        <f t="shared" si="5"/>
        <v>5537.045231318468</v>
      </c>
      <c r="D49" s="80">
        <f t="shared" si="10"/>
        <v>3300</v>
      </c>
      <c r="E49" s="80">
        <f t="shared" si="11"/>
        <v>3999.96</v>
      </c>
      <c r="F49" s="85">
        <f t="shared" si="2"/>
        <v>30313.550692779205</v>
      </c>
      <c r="G49" s="83">
        <f>'DataCalculations-Cal Poly'!F51</f>
        <v>3398.2890120665943</v>
      </c>
      <c r="H49" s="84">
        <f>'DataCalculations-Cal Poly'!I51</f>
        <v>55225.04968833347</v>
      </c>
      <c r="I49" s="78">
        <f t="shared" si="6"/>
        <v>0</v>
      </c>
      <c r="J49" s="78">
        <f t="shared" si="7"/>
        <v>451822.890875587</v>
      </c>
      <c r="K49" s="91">
        <f t="shared" si="0"/>
        <v>396597.84118725354</v>
      </c>
      <c r="L49" s="78">
        <f t="shared" si="3"/>
        <v>2233.8335608462658</v>
      </c>
    </row>
    <row r="50" spans="1:12" ht="12.75">
      <c r="A50" s="1">
        <f t="shared" si="4"/>
        <v>27</v>
      </c>
      <c r="B50" s="81">
        <f t="shared" si="9"/>
        <v>17476.545461460737</v>
      </c>
      <c r="C50" s="87">
        <f t="shared" si="5"/>
        <v>5647.786135944837</v>
      </c>
      <c r="D50" s="80">
        <f t="shared" si="10"/>
        <v>3300</v>
      </c>
      <c r="E50" s="80">
        <f t="shared" si="11"/>
        <v>3999.96</v>
      </c>
      <c r="F50" s="85">
        <f t="shared" si="2"/>
        <v>30424.291597405572</v>
      </c>
      <c r="G50" s="83">
        <f>'DataCalculations-Cal Poly'!F52</f>
        <v>2720.6167673182754</v>
      </c>
      <c r="H50" s="84">
        <f>'DataCalculations-Cal Poly'!I52</f>
        <v>42533.58645565175</v>
      </c>
      <c r="I50" s="78">
        <f t="shared" si="6"/>
        <v>0</v>
      </c>
      <c r="J50" s="78">
        <f t="shared" si="7"/>
        <v>460859.34869309876</v>
      </c>
      <c r="K50" s="91">
        <f t="shared" si="0"/>
        <v>418325.762237447</v>
      </c>
      <c r="L50" s="78">
        <f t="shared" si="3"/>
        <v>2092.100725815778</v>
      </c>
    </row>
    <row r="51" spans="1:12" ht="12.75">
      <c r="A51" s="1">
        <f t="shared" si="4"/>
        <v>28</v>
      </c>
      <c r="B51" s="81">
        <f t="shared" si="9"/>
        <v>17476.545461460737</v>
      </c>
      <c r="C51" s="87">
        <f t="shared" si="5"/>
        <v>5760.741858663734</v>
      </c>
      <c r="D51" s="80">
        <f t="shared" si="10"/>
        <v>3300</v>
      </c>
      <c r="E51" s="80">
        <f t="shared" si="11"/>
        <v>3999.96</v>
      </c>
      <c r="F51" s="85">
        <f t="shared" si="2"/>
        <v>30537.247320124472</v>
      </c>
      <c r="G51" s="83">
        <f>'DataCalculations-Cal Poly'!F53</f>
        <v>2004.71848120098</v>
      </c>
      <c r="H51" s="84">
        <f>'DataCalculations-Cal Poly'!I53</f>
        <v>29126.22493685273</v>
      </c>
      <c r="I51" s="78">
        <f t="shared" si="6"/>
        <v>0</v>
      </c>
      <c r="J51" s="78">
        <f t="shared" si="7"/>
        <v>470076.53566696076</v>
      </c>
      <c r="K51" s="91">
        <f t="shared" si="0"/>
        <v>440950.310730108</v>
      </c>
      <c r="L51" s="78">
        <f t="shared" si="3"/>
        <v>1941.3650849661785</v>
      </c>
    </row>
    <row r="52" spans="1:12" ht="12.75">
      <c r="A52" s="1">
        <f t="shared" si="4"/>
        <v>29</v>
      </c>
      <c r="B52" s="81">
        <f t="shared" si="9"/>
        <v>17476.545461460737</v>
      </c>
      <c r="C52" s="87">
        <f t="shared" si="5"/>
        <v>5875.956695837009</v>
      </c>
      <c r="D52" s="80">
        <f t="shared" si="10"/>
        <v>3300</v>
      </c>
      <c r="E52" s="80">
        <f t="shared" si="11"/>
        <v>3999.96</v>
      </c>
      <c r="F52" s="85">
        <f t="shared" si="2"/>
        <v>30652.462157297745</v>
      </c>
      <c r="G52" s="83">
        <f>'DataCalculations-Cal Poly'!F54</f>
        <v>1248.4379045101487</v>
      </c>
      <c r="H52" s="84">
        <f>'DataCalculations-Cal Poly'!I54</f>
        <v>14962.58284136288</v>
      </c>
      <c r="I52" s="78">
        <f t="shared" si="6"/>
        <v>0</v>
      </c>
      <c r="J52" s="78">
        <f t="shared" si="7"/>
        <v>479478.0663803</v>
      </c>
      <c r="K52" s="91">
        <f t="shared" si="0"/>
        <v>464515.4835389371</v>
      </c>
      <c r="L52" s="78">
        <f t="shared" si="3"/>
        <v>1781.0986500867893</v>
      </c>
    </row>
    <row r="53" spans="1:12" ht="12.75">
      <c r="A53" s="1">
        <f>+A52+1</f>
        <v>30</v>
      </c>
      <c r="B53" s="81">
        <f t="shared" si="9"/>
        <v>17476.545461460737</v>
      </c>
      <c r="C53" s="87">
        <f t="shared" si="5"/>
        <v>5993.475829753749</v>
      </c>
      <c r="D53" s="80">
        <f t="shared" si="10"/>
        <v>3300</v>
      </c>
      <c r="E53" s="80">
        <f t="shared" si="11"/>
        <v>3999.96</v>
      </c>
      <c r="F53" s="85">
        <f t="shared" si="2"/>
        <v>30769.981291214484</v>
      </c>
      <c r="G53" s="83">
        <f>'DataCalculations-Cal Poly'!F55</f>
        <v>449.49715863711754</v>
      </c>
      <c r="H53" s="84">
        <f>'DataCalculations-Cal Poly'!I55</f>
        <v>0</v>
      </c>
      <c r="I53" s="78">
        <f t="shared" si="6"/>
        <v>0</v>
      </c>
      <c r="J53" s="78">
        <f t="shared" si="7"/>
        <v>489067.627707906</v>
      </c>
      <c r="K53" s="91">
        <f t="shared" si="0"/>
        <v>489067.627707906</v>
      </c>
      <c r="L53" s="78">
        <f t="shared" si="3"/>
        <v>1610.7432470977167</v>
      </c>
    </row>
    <row r="54" spans="4:5" ht="12.75">
      <c r="D54" s="53"/>
      <c r="E54" s="53"/>
    </row>
    <row r="55" spans="1:2" ht="12.75">
      <c r="A55" s="59"/>
      <c r="B55" s="97" t="s">
        <v>117</v>
      </c>
    </row>
    <row r="56" spans="1:2" ht="12.75">
      <c r="A56" s="59"/>
      <c r="B56" s="95" t="s">
        <v>118</v>
      </c>
    </row>
    <row r="58" spans="1:14" ht="12.75">
      <c r="A58" s="94" t="s">
        <v>108</v>
      </c>
      <c r="B58" s="95" t="s">
        <v>109</v>
      </c>
      <c r="C58" s="95"/>
      <c r="D58" s="95"/>
      <c r="E58" s="95"/>
      <c r="F58" s="95"/>
      <c r="G58" s="95"/>
      <c r="H58" s="95"/>
      <c r="I58" s="95"/>
      <c r="J58" s="95"/>
      <c r="K58" s="95"/>
      <c r="L58" s="95"/>
      <c r="M58" s="95"/>
      <c r="N58" s="96"/>
    </row>
    <row r="59" spans="1:14" ht="12.75">
      <c r="A59" s="96"/>
      <c r="B59" s="95" t="s">
        <v>115</v>
      </c>
      <c r="C59" s="95"/>
      <c r="D59" s="95"/>
      <c r="E59" s="95"/>
      <c r="F59" s="95"/>
      <c r="G59" s="95"/>
      <c r="H59" s="95"/>
      <c r="I59" s="95"/>
      <c r="J59" s="95"/>
      <c r="K59" s="95"/>
      <c r="L59" s="95"/>
      <c r="M59" s="95"/>
      <c r="N59" s="96"/>
    </row>
    <row r="60" spans="1:14" ht="12.75">
      <c r="A60" s="96"/>
      <c r="B60" s="95" t="s">
        <v>116</v>
      </c>
      <c r="C60" s="95"/>
      <c r="D60" s="95"/>
      <c r="E60" s="95"/>
      <c r="F60" s="95"/>
      <c r="G60" s="95"/>
      <c r="H60" s="95"/>
      <c r="I60" s="95"/>
      <c r="J60" s="95"/>
      <c r="K60" s="95"/>
      <c r="L60" s="95"/>
      <c r="M60" s="95"/>
      <c r="N60" s="96"/>
    </row>
    <row r="61" spans="1:14" ht="12.75">
      <c r="A61" s="96"/>
      <c r="B61" s="95" t="s">
        <v>107</v>
      </c>
      <c r="C61" s="95"/>
      <c r="D61" s="95"/>
      <c r="E61" s="95"/>
      <c r="F61" s="95"/>
      <c r="G61" s="95"/>
      <c r="H61" s="95"/>
      <c r="I61" s="95"/>
      <c r="J61" s="95"/>
      <c r="K61" s="95"/>
      <c r="L61" s="95"/>
      <c r="M61" s="95"/>
      <c r="N61" s="96"/>
    </row>
    <row r="62" spans="1:14" ht="12.75">
      <c r="A62" s="96"/>
      <c r="B62" s="95" t="s">
        <v>106</v>
      </c>
      <c r="C62" s="95"/>
      <c r="D62" s="95"/>
      <c r="E62" s="95"/>
      <c r="F62" s="95"/>
      <c r="G62" s="95"/>
      <c r="H62" s="95"/>
      <c r="I62" s="95"/>
      <c r="J62" s="95"/>
      <c r="K62" s="95"/>
      <c r="L62" s="95"/>
      <c r="M62" s="95"/>
      <c r="N62" s="96"/>
    </row>
    <row r="63" spans="1:14" ht="12.75">
      <c r="A63" s="96"/>
      <c r="B63" s="95" t="s">
        <v>114</v>
      </c>
      <c r="C63" s="95"/>
      <c r="D63" s="95"/>
      <c r="E63" s="95"/>
      <c r="F63" s="95"/>
      <c r="G63" s="95"/>
      <c r="H63" s="95"/>
      <c r="I63" s="95"/>
      <c r="J63" s="95"/>
      <c r="K63" s="95"/>
      <c r="L63" s="95"/>
      <c r="M63" s="95"/>
      <c r="N63" s="96"/>
    </row>
  </sheetData>
  <sheetProtection password="CC59" sheet="1"/>
  <printOptions/>
  <pageMargins left="0.75" right="0.75" top="1" bottom="1" header="0.5" footer="0.5"/>
  <pageSetup fitToHeight="1" fitToWidth="1" horizontalDpi="600" verticalDpi="600" orientation="landscape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234"/>
  <sheetViews>
    <sheetView zoomScalePageLayoutView="0" workbookViewId="0" topLeftCell="A1">
      <selection activeCell="G15" sqref="F15:G15"/>
    </sheetView>
  </sheetViews>
  <sheetFormatPr defaultColWidth="9.140625" defaultRowHeight="12.75"/>
  <cols>
    <col min="3" max="3" width="11.140625" style="0" bestFit="1" customWidth="1"/>
    <col min="4" max="5" width="11.8515625" style="0" bestFit="1" customWidth="1"/>
    <col min="6" max="6" width="10.140625" style="0" bestFit="1" customWidth="1"/>
    <col min="7" max="9" width="11.140625" style="0" bestFit="1" customWidth="1"/>
    <col min="10" max="10" width="11.8515625" style="0" bestFit="1" customWidth="1"/>
  </cols>
  <sheetData>
    <row r="1" spans="1:17" ht="48.75" customHeight="1">
      <c r="A1" s="11"/>
      <c r="B1" s="12" t="s">
        <v>53</v>
      </c>
      <c r="C1" s="13"/>
      <c r="D1" s="13"/>
      <c r="E1" s="13"/>
      <c r="F1" s="13"/>
      <c r="G1" s="13"/>
      <c r="H1" s="13"/>
      <c r="I1" s="13"/>
      <c r="J1" s="13"/>
      <c r="K1" s="11"/>
      <c r="L1" s="14"/>
      <c r="M1" s="14"/>
      <c r="N1" s="15"/>
      <c r="O1" s="15"/>
      <c r="P1" s="15"/>
      <c r="Q1" s="14"/>
    </row>
    <row r="2" spans="1:17" ht="4.5" customHeight="1">
      <c r="A2" s="16"/>
      <c r="B2" s="17"/>
      <c r="C2" s="18"/>
      <c r="D2" s="18"/>
      <c r="E2" s="18"/>
      <c r="F2" s="18"/>
      <c r="G2" s="18"/>
      <c r="H2" s="18"/>
      <c r="I2" s="18"/>
      <c r="J2" s="18"/>
      <c r="K2" s="16"/>
      <c r="L2" s="19"/>
      <c r="M2" s="19"/>
      <c r="N2" s="20"/>
      <c r="O2" s="20"/>
      <c r="P2" s="20"/>
      <c r="Q2" s="19"/>
    </row>
    <row r="3" spans="1:17" ht="18" customHeight="1">
      <c r="A3" s="16"/>
      <c r="B3" s="180" t="s">
        <v>54</v>
      </c>
      <c r="C3" s="181"/>
      <c r="D3" s="181"/>
      <c r="E3" s="182"/>
      <c r="F3" s="16"/>
      <c r="G3" s="180" t="s">
        <v>55</v>
      </c>
      <c r="H3" s="181"/>
      <c r="I3" s="181"/>
      <c r="J3" s="182"/>
      <c r="K3" s="19"/>
      <c r="L3" s="19"/>
      <c r="M3" s="19"/>
      <c r="N3" s="20"/>
      <c r="O3" s="20"/>
      <c r="P3" s="20"/>
      <c r="Q3" s="19"/>
    </row>
    <row r="4" spans="1:17" ht="12" customHeight="1">
      <c r="A4" s="21"/>
      <c r="B4" s="177" t="s">
        <v>56</v>
      </c>
      <c r="C4" s="178"/>
      <c r="D4" s="179"/>
      <c r="E4" s="22">
        <f>'Data Background-Cal Poly'!E6</f>
        <v>226200</v>
      </c>
      <c r="F4" s="16"/>
      <c r="G4" s="177" t="s">
        <v>57</v>
      </c>
      <c r="H4" s="178"/>
      <c r="I4" s="179"/>
      <c r="J4" s="23">
        <f>IF(AND(ISNUMBER(E4),ISNUMBER(E5),ISNUMBER(E6),ISNUMBER(E7)),J5*12,"")</f>
        <v>15412.079999999998</v>
      </c>
      <c r="K4" s="24"/>
      <c r="L4" s="24"/>
      <c r="M4" s="24"/>
      <c r="N4" s="25"/>
      <c r="O4" s="25"/>
      <c r="P4" s="25"/>
      <c r="Q4" s="24"/>
    </row>
    <row r="5" spans="1:17" ht="12" customHeight="1">
      <c r="A5" s="21"/>
      <c r="B5" s="177" t="s">
        <v>58</v>
      </c>
      <c r="C5" s="178"/>
      <c r="D5" s="179"/>
      <c r="E5" s="26">
        <f>'Data Background-Cal Poly'!C6</f>
        <v>0.055</v>
      </c>
      <c r="F5" s="16"/>
      <c r="G5" s="177" t="s">
        <v>59</v>
      </c>
      <c r="H5" s="178"/>
      <c r="I5" s="179"/>
      <c r="J5" s="23">
        <f>IF(AND(ISNUMBER(E4),ISNUMBER(E5),ISNUMBER(E6),ISNUMBER(E7)),ROUND(PMT(E5/12,Q208,-E4),2),"")</f>
        <v>1284.34</v>
      </c>
      <c r="K5" s="24"/>
      <c r="L5" s="24"/>
      <c r="M5" s="24"/>
      <c r="N5" s="25"/>
      <c r="O5" s="25"/>
      <c r="P5" s="25"/>
      <c r="Q5" s="24"/>
    </row>
    <row r="6" spans="1:17" ht="12" customHeight="1">
      <c r="A6" s="21"/>
      <c r="B6" s="177" t="s">
        <v>60</v>
      </c>
      <c r="C6" s="178"/>
      <c r="D6" s="179"/>
      <c r="E6" s="27">
        <f>'Data Background-Cal Poly'!B7</f>
        <v>30</v>
      </c>
      <c r="F6" s="16"/>
      <c r="G6" s="177" t="s">
        <v>61</v>
      </c>
      <c r="H6" s="178"/>
      <c r="I6" s="179"/>
      <c r="J6" s="23">
        <f>IF(AND(ISNUMBER(E4),ISNUMBER(E5),ISNUMBER(E6),ISNUMBER(E7)),VLOOKUP("Dec",C12:J23,7,0),"")</f>
        <v>12364.960000000001</v>
      </c>
      <c r="K6" s="24"/>
      <c r="L6" s="24"/>
      <c r="M6" s="24"/>
      <c r="N6" s="25"/>
      <c r="O6" s="25"/>
      <c r="P6" s="25"/>
      <c r="Q6" s="24"/>
    </row>
    <row r="7" spans="1:17" ht="12" customHeight="1">
      <c r="A7" s="21"/>
      <c r="B7" s="177" t="s">
        <v>62</v>
      </c>
      <c r="C7" s="178"/>
      <c r="D7" s="179"/>
      <c r="E7" s="28">
        <v>1</v>
      </c>
      <c r="F7" s="16"/>
      <c r="G7" s="177" t="s">
        <v>63</v>
      </c>
      <c r="H7" s="178"/>
      <c r="I7" s="179"/>
      <c r="J7" s="23">
        <f>IF(AND(ISNUMBER(E4),ISNUMBER(E5),ISNUMBER(E6),ISNUMBER(E7)),MAX(I23,H27:H56),"")</f>
        <v>236162.39999999988</v>
      </c>
      <c r="K7" s="24"/>
      <c r="L7" s="24"/>
      <c r="M7" s="24"/>
      <c r="N7" s="25"/>
      <c r="O7" s="25"/>
      <c r="P7" s="25"/>
      <c r="Q7" s="24"/>
    </row>
    <row r="8" spans="1:17" ht="12" customHeight="1">
      <c r="A8" s="21"/>
      <c r="B8" s="177" t="s">
        <v>64</v>
      </c>
      <c r="C8" s="178"/>
      <c r="D8" s="179"/>
      <c r="E8" s="27">
        <v>1</v>
      </c>
      <c r="F8" s="16"/>
      <c r="G8" s="177" t="s">
        <v>65</v>
      </c>
      <c r="H8" s="178"/>
      <c r="I8" s="179"/>
      <c r="J8" s="23">
        <f>IF(AND(ISNUMBER(E4),ISNUMBER(E5),ISNUMBER(E6),ISNUMBER(E7)),J7+E4,"")</f>
        <v>462362.3999999999</v>
      </c>
      <c r="K8" s="21"/>
      <c r="L8" s="24"/>
      <c r="M8" s="24"/>
      <c r="N8" s="25"/>
      <c r="O8" s="25"/>
      <c r="P8" s="25"/>
      <c r="Q8" s="24"/>
    </row>
    <row r="9" spans="1:17" ht="9.75" customHeight="1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9"/>
      <c r="M9" s="19"/>
      <c r="N9" s="20"/>
      <c r="O9" s="20"/>
      <c r="P9" s="20"/>
      <c r="Q9" s="19"/>
    </row>
    <row r="10" spans="1:17" ht="18" customHeight="1">
      <c r="A10" s="16"/>
      <c r="B10" s="180" t="s">
        <v>66</v>
      </c>
      <c r="C10" s="181"/>
      <c r="D10" s="181"/>
      <c r="E10" s="181"/>
      <c r="F10" s="181"/>
      <c r="G10" s="181"/>
      <c r="H10" s="181"/>
      <c r="I10" s="181"/>
      <c r="J10" s="182"/>
      <c r="K10" s="16"/>
      <c r="L10" s="19"/>
      <c r="M10" s="19"/>
      <c r="N10" s="20"/>
      <c r="O10" s="20"/>
      <c r="P10" s="20"/>
      <c r="Q10" s="19"/>
    </row>
    <row r="11" spans="1:17" ht="27" customHeight="1">
      <c r="A11" s="29"/>
      <c r="B11" s="30" t="s">
        <v>13</v>
      </c>
      <c r="C11" s="31" t="s">
        <v>67</v>
      </c>
      <c r="D11" s="31" t="s">
        <v>68</v>
      </c>
      <c r="E11" s="31" t="s">
        <v>69</v>
      </c>
      <c r="F11" s="31" t="s">
        <v>0</v>
      </c>
      <c r="G11" s="31" t="s">
        <v>70</v>
      </c>
      <c r="H11" s="31" t="s">
        <v>71</v>
      </c>
      <c r="I11" s="31" t="s">
        <v>72</v>
      </c>
      <c r="J11" s="32" t="s">
        <v>73</v>
      </c>
      <c r="K11" s="29"/>
      <c r="L11" s="33"/>
      <c r="M11" s="33"/>
      <c r="N11" s="34"/>
      <c r="O11" s="34"/>
      <c r="P11" s="34"/>
      <c r="Q11" s="33"/>
    </row>
    <row r="12" spans="1:17" ht="11.25" customHeight="1">
      <c r="A12" s="21"/>
      <c r="B12" s="35">
        <f>IF(SUM(O192)=1,E7,"")</f>
        <v>1</v>
      </c>
      <c r="C12" s="36" t="str">
        <f>VLOOKUP(O192,M192:N203,2)</f>
        <v>Jan</v>
      </c>
      <c r="D12" s="23">
        <f>IF(ISTEXT(J4),"",E4)</f>
        <v>226200</v>
      </c>
      <c r="E12" s="23">
        <f aca="true" t="shared" si="0" ref="E12:E23">IF(ISTEXT(J$5),"",J$5)</f>
        <v>1284.34</v>
      </c>
      <c r="F12" s="23">
        <f aca="true" t="shared" si="1" ref="F12:F23">IF(ISTEXT(J$4),"",E12-G12)</f>
        <v>247.58999999999992</v>
      </c>
      <c r="G12" s="23">
        <f aca="true" t="shared" si="2" ref="G12:G23">IF(ISTEXT(J$4),"",ROUND(D12*(E$5/12),2))</f>
        <v>1036.75</v>
      </c>
      <c r="H12" s="23">
        <f>IF(ISTEXT($J$4),"",SUM(F$12:F12))</f>
        <v>247.58999999999992</v>
      </c>
      <c r="I12" s="23">
        <f>IF(ISTEXT($J$4),"",SUM(G$12:G12))</f>
        <v>1036.75</v>
      </c>
      <c r="J12" s="23">
        <f aca="true" t="shared" si="3" ref="J12:J23">IF(ISTEXT(J$4),"",D12-F12)</f>
        <v>225952.41</v>
      </c>
      <c r="K12" s="21"/>
      <c r="L12" s="24"/>
      <c r="M12" s="24"/>
      <c r="N12" s="25"/>
      <c r="O12" s="25"/>
      <c r="P12" s="25"/>
      <c r="Q12" s="24"/>
    </row>
    <row r="13" spans="1:17" ht="11.25" customHeight="1">
      <c r="A13" s="21"/>
      <c r="B13" s="35">
        <f>IF(O193=1,E7+1,"")</f>
      </c>
      <c r="C13" s="36" t="str">
        <f>VLOOKUP(O193,M192:N203,2)</f>
        <v>Feb</v>
      </c>
      <c r="D13" s="23">
        <f aca="true" t="shared" si="4" ref="D13:D23">IF(ISTEXT(J$4),"",J12)</f>
        <v>225952.41</v>
      </c>
      <c r="E13" s="23">
        <f t="shared" si="0"/>
        <v>1284.34</v>
      </c>
      <c r="F13" s="23">
        <f t="shared" si="1"/>
        <v>248.72000000000003</v>
      </c>
      <c r="G13" s="23">
        <f t="shared" si="2"/>
        <v>1035.62</v>
      </c>
      <c r="H13" s="23">
        <f>IF(ISTEXT($J$4),"",SUM(F$12:F13))</f>
        <v>496.30999999999995</v>
      </c>
      <c r="I13" s="23">
        <f>IF(ISTEXT($J$4),"",SUM(G$12:G13))</f>
        <v>2072.37</v>
      </c>
      <c r="J13" s="23">
        <f t="shared" si="3"/>
        <v>225703.69</v>
      </c>
      <c r="K13" s="21"/>
      <c r="L13" s="24"/>
      <c r="M13" s="24"/>
      <c r="N13" s="25"/>
      <c r="O13" s="25"/>
      <c r="P13" s="25"/>
      <c r="Q13" s="24"/>
    </row>
    <row r="14" spans="1:17" ht="11.25" customHeight="1">
      <c r="A14" s="21"/>
      <c r="B14" s="35">
        <f>IF(O194=1,E7+1,"")</f>
      </c>
      <c r="C14" s="36" t="str">
        <f>VLOOKUP(O194,M192:N203,2)</f>
        <v>Mar</v>
      </c>
      <c r="D14" s="23">
        <f t="shared" si="4"/>
        <v>225703.69</v>
      </c>
      <c r="E14" s="23">
        <f t="shared" si="0"/>
        <v>1284.34</v>
      </c>
      <c r="F14" s="23">
        <f t="shared" si="1"/>
        <v>249.8599999999999</v>
      </c>
      <c r="G14" s="23">
        <f>IF(ISTEXT(J$4),"",ROUND(D14*(E$5/12),2))</f>
        <v>1034.48</v>
      </c>
      <c r="H14" s="23">
        <f>IF(ISTEXT($J$4),"",SUM(F$12:F14))</f>
        <v>746.1699999999998</v>
      </c>
      <c r="I14" s="23">
        <f>IF(ISTEXT($J$4),"",SUM(G$12:G14))</f>
        <v>3106.85</v>
      </c>
      <c r="J14" s="23">
        <f t="shared" si="3"/>
        <v>225453.83000000002</v>
      </c>
      <c r="K14" s="21"/>
      <c r="L14" s="24"/>
      <c r="M14" s="24"/>
      <c r="N14" s="25"/>
      <c r="O14" s="25"/>
      <c r="P14" s="25"/>
      <c r="Q14" s="24"/>
    </row>
    <row r="15" spans="1:17" ht="11.25" customHeight="1">
      <c r="A15" s="21"/>
      <c r="B15" s="35">
        <f>IF(O195=1,E7+1,"")</f>
      </c>
      <c r="C15" s="36" t="str">
        <f>VLOOKUP(O195,M192:N203,2)</f>
        <v>Apr</v>
      </c>
      <c r="D15" s="23">
        <f t="shared" si="4"/>
        <v>225453.83000000002</v>
      </c>
      <c r="E15" s="23">
        <f t="shared" si="0"/>
        <v>1284.34</v>
      </c>
      <c r="F15" s="23">
        <f t="shared" si="1"/>
        <v>251.01</v>
      </c>
      <c r="G15" s="23">
        <f t="shared" si="2"/>
        <v>1033.33</v>
      </c>
      <c r="H15" s="23">
        <f>IF(ISTEXT($J$4),"",SUM(F$12:F15))</f>
        <v>997.1799999999998</v>
      </c>
      <c r="I15" s="23">
        <f>IF(ISTEXT($J$4),"",SUM(G$12:G15))</f>
        <v>4140.18</v>
      </c>
      <c r="J15" s="23">
        <f t="shared" si="3"/>
        <v>225202.82</v>
      </c>
      <c r="K15" s="21"/>
      <c r="L15" s="24"/>
      <c r="M15" s="24"/>
      <c r="N15" s="25"/>
      <c r="O15" s="25"/>
      <c r="P15" s="25"/>
      <c r="Q15" s="24"/>
    </row>
    <row r="16" spans="1:17" ht="11.25" customHeight="1">
      <c r="A16" s="21"/>
      <c r="B16" s="35">
        <f>IF(O196=1,E7+1,"")</f>
      </c>
      <c r="C16" s="36" t="str">
        <f>VLOOKUP(O196,M192:N203,2)</f>
        <v>May</v>
      </c>
      <c r="D16" s="23">
        <f t="shared" si="4"/>
        <v>225202.82</v>
      </c>
      <c r="E16" s="23">
        <f t="shared" si="0"/>
        <v>1284.34</v>
      </c>
      <c r="F16" s="23">
        <f t="shared" si="1"/>
        <v>252.15999999999985</v>
      </c>
      <c r="G16" s="23">
        <f t="shared" si="2"/>
        <v>1032.18</v>
      </c>
      <c r="H16" s="23">
        <f>IF(ISTEXT($J$4),"",SUM(F$12:F16))</f>
        <v>1249.3399999999997</v>
      </c>
      <c r="I16" s="23">
        <f>IF(ISTEXT($J$4),"",SUM(G$12:G16))</f>
        <v>5172.360000000001</v>
      </c>
      <c r="J16" s="23">
        <f t="shared" si="3"/>
        <v>224950.66</v>
      </c>
      <c r="K16" s="21"/>
      <c r="L16" s="24"/>
      <c r="M16" s="24"/>
      <c r="N16" s="25"/>
      <c r="O16" s="25"/>
      <c r="P16" s="25"/>
      <c r="Q16" s="24"/>
    </row>
    <row r="17" spans="1:17" ht="11.25" customHeight="1">
      <c r="A17" s="21"/>
      <c r="B17" s="35">
        <f>IF(O197=1,E7+1,"")</f>
      </c>
      <c r="C17" s="36" t="str">
        <f>VLOOKUP(O197,M192:N203,2)</f>
        <v>Jun</v>
      </c>
      <c r="D17" s="23">
        <f t="shared" si="4"/>
        <v>224950.66</v>
      </c>
      <c r="E17" s="23">
        <f t="shared" si="0"/>
        <v>1284.34</v>
      </c>
      <c r="F17" s="23">
        <f t="shared" si="1"/>
        <v>253.31999999999994</v>
      </c>
      <c r="G17" s="23">
        <f t="shared" si="2"/>
        <v>1031.02</v>
      </c>
      <c r="H17" s="23">
        <f>IF(ISTEXT($J$4),"",SUM(F$12:F17))</f>
        <v>1502.6599999999996</v>
      </c>
      <c r="I17" s="23">
        <f>IF(ISTEXT($J$4),"",SUM(G$12:G17))</f>
        <v>6203.380000000001</v>
      </c>
      <c r="J17" s="23">
        <f t="shared" si="3"/>
        <v>224697.34</v>
      </c>
      <c r="K17" s="21"/>
      <c r="L17" s="24"/>
      <c r="M17" s="24"/>
      <c r="N17" s="25"/>
      <c r="O17" s="25"/>
      <c r="P17" s="25"/>
      <c r="Q17" s="24"/>
    </row>
    <row r="18" spans="1:17" ht="11.25" customHeight="1">
      <c r="A18" s="21"/>
      <c r="B18" s="35">
        <f>IF(O198=1,E7+1,"")</f>
      </c>
      <c r="C18" s="36" t="str">
        <f>VLOOKUP(O198,M192:N203,2)</f>
        <v>Jul</v>
      </c>
      <c r="D18" s="23">
        <f t="shared" si="4"/>
        <v>224697.34</v>
      </c>
      <c r="E18" s="23">
        <f t="shared" si="0"/>
        <v>1284.34</v>
      </c>
      <c r="F18" s="23">
        <f t="shared" si="1"/>
        <v>254.48000000000002</v>
      </c>
      <c r="G18" s="23">
        <f t="shared" si="2"/>
        <v>1029.86</v>
      </c>
      <c r="H18" s="23">
        <f>IF(ISTEXT($J$4),"",SUM(F$12:F18))</f>
        <v>1757.1399999999996</v>
      </c>
      <c r="I18" s="23">
        <f>IF(ISTEXT($J$4),"",SUM(G$12:G18))</f>
        <v>7233.240000000001</v>
      </c>
      <c r="J18" s="23">
        <f t="shared" si="3"/>
        <v>224442.86</v>
      </c>
      <c r="K18" s="21"/>
      <c r="L18" s="24"/>
      <c r="M18" s="24"/>
      <c r="N18" s="25"/>
      <c r="O18" s="25"/>
      <c r="P18" s="25"/>
      <c r="Q18" s="24"/>
    </row>
    <row r="19" spans="1:17" ht="11.25" customHeight="1">
      <c r="A19" s="21"/>
      <c r="B19" s="35">
        <f>IF(O199=1,E7+1,"")</f>
      </c>
      <c r="C19" s="36" t="str">
        <f>VLOOKUP(O199,M192:N203,2)</f>
        <v>Aug</v>
      </c>
      <c r="D19" s="23">
        <f t="shared" si="4"/>
        <v>224442.86</v>
      </c>
      <c r="E19" s="23">
        <f t="shared" si="0"/>
        <v>1284.34</v>
      </c>
      <c r="F19" s="23">
        <f t="shared" si="1"/>
        <v>255.63999999999987</v>
      </c>
      <c r="G19" s="23">
        <f t="shared" si="2"/>
        <v>1028.7</v>
      </c>
      <c r="H19" s="23">
        <f>IF(ISTEXT($J$4),"",SUM(F$12:F19))</f>
        <v>2012.7799999999995</v>
      </c>
      <c r="I19" s="23">
        <f>IF(ISTEXT($J$4),"",SUM(G$12:G19))</f>
        <v>8261.94</v>
      </c>
      <c r="J19" s="23">
        <f t="shared" si="3"/>
        <v>224187.21999999997</v>
      </c>
      <c r="K19" s="21"/>
      <c r="L19" s="24"/>
      <c r="M19" s="24"/>
      <c r="N19" s="25"/>
      <c r="O19" s="25"/>
      <c r="P19" s="25"/>
      <c r="Q19" s="24"/>
    </row>
    <row r="20" spans="1:17" ht="11.25" customHeight="1">
      <c r="A20" s="21"/>
      <c r="B20" s="35">
        <f>IF(O200=1,E7+1,"")</f>
      </c>
      <c r="C20" s="36" t="str">
        <f>VLOOKUP(O200,M192:N203,2)</f>
        <v>Sep</v>
      </c>
      <c r="D20" s="23">
        <f t="shared" si="4"/>
        <v>224187.21999999997</v>
      </c>
      <c r="E20" s="23">
        <f t="shared" si="0"/>
        <v>1284.34</v>
      </c>
      <c r="F20" s="23">
        <f t="shared" si="1"/>
        <v>256.81999999999994</v>
      </c>
      <c r="G20" s="23">
        <f t="shared" si="2"/>
        <v>1027.52</v>
      </c>
      <c r="H20" s="23">
        <f>IF(ISTEXT($J$4),"",SUM(F$12:F20))</f>
        <v>2269.5999999999995</v>
      </c>
      <c r="I20" s="23">
        <f>IF(ISTEXT($J$4),"",SUM(G$12:G20))</f>
        <v>9289.460000000001</v>
      </c>
      <c r="J20" s="23">
        <f t="shared" si="3"/>
        <v>223930.39999999997</v>
      </c>
      <c r="K20" s="21"/>
      <c r="L20" s="24"/>
      <c r="M20" s="24"/>
      <c r="N20" s="25"/>
      <c r="O20" s="25"/>
      <c r="P20" s="25"/>
      <c r="Q20" s="24"/>
    </row>
    <row r="21" spans="1:17" ht="11.25" customHeight="1">
      <c r="A21" s="21"/>
      <c r="B21" s="35">
        <f>IF(O201=1,E7+1,"")</f>
      </c>
      <c r="C21" s="35" t="str">
        <f>VLOOKUP(O201,M192:N203,2)</f>
        <v>Oct</v>
      </c>
      <c r="D21" s="23">
        <f t="shared" si="4"/>
        <v>223930.39999999997</v>
      </c>
      <c r="E21" s="23">
        <f t="shared" si="0"/>
        <v>1284.34</v>
      </c>
      <c r="F21" s="23">
        <f t="shared" si="1"/>
        <v>257.99</v>
      </c>
      <c r="G21" s="23">
        <f t="shared" si="2"/>
        <v>1026.35</v>
      </c>
      <c r="H21" s="23">
        <f>IF(ISTEXT($J$4),"",SUM(F$12:F21))</f>
        <v>2527.5899999999992</v>
      </c>
      <c r="I21" s="23">
        <f>IF(ISTEXT($J$4),"",SUM(G$12:G21))</f>
        <v>10315.810000000001</v>
      </c>
      <c r="J21" s="23">
        <f t="shared" si="3"/>
        <v>223672.40999999997</v>
      </c>
      <c r="K21" s="21"/>
      <c r="L21" s="24"/>
      <c r="M21" s="24"/>
      <c r="N21" s="25"/>
      <c r="O21" s="25"/>
      <c r="P21" s="25"/>
      <c r="Q21" s="24"/>
    </row>
    <row r="22" spans="1:17" ht="11.25" customHeight="1">
      <c r="A22" s="21"/>
      <c r="B22" s="35">
        <f>IF(O202=1,E7+1,"")</f>
      </c>
      <c r="C22" s="36" t="str">
        <f>VLOOKUP(O202,M192:N203,2)</f>
        <v>Nov</v>
      </c>
      <c r="D22" s="23">
        <f t="shared" si="4"/>
        <v>223672.40999999997</v>
      </c>
      <c r="E22" s="23">
        <f t="shared" si="0"/>
        <v>1284.34</v>
      </c>
      <c r="F22" s="23">
        <f t="shared" si="1"/>
        <v>259.16999999999985</v>
      </c>
      <c r="G22" s="23">
        <f t="shared" si="2"/>
        <v>1025.17</v>
      </c>
      <c r="H22" s="23">
        <f>IF(ISTEXT($J$4),"",SUM(F$12:F22))</f>
        <v>2786.7599999999993</v>
      </c>
      <c r="I22" s="23">
        <f>IF(ISTEXT($J$4),"",SUM(G$12:G22))</f>
        <v>11340.980000000001</v>
      </c>
      <c r="J22" s="23">
        <f t="shared" si="3"/>
        <v>223413.23999999996</v>
      </c>
      <c r="K22" s="21"/>
      <c r="L22" s="24"/>
      <c r="M22" s="24"/>
      <c r="N22" s="25"/>
      <c r="O22" s="25"/>
      <c r="P22" s="25"/>
      <c r="Q22" s="24"/>
    </row>
    <row r="23" spans="1:17" ht="11.25" customHeight="1">
      <c r="A23" s="21"/>
      <c r="B23" s="35">
        <f>IF(O203=1,E7+1,"")</f>
      </c>
      <c r="C23" s="36" t="str">
        <f>VLOOKUP(O203,M192:N203,2)</f>
        <v>Dec</v>
      </c>
      <c r="D23" s="23">
        <f t="shared" si="4"/>
        <v>223413.23999999996</v>
      </c>
      <c r="E23" s="23">
        <f t="shared" si="0"/>
        <v>1284.34</v>
      </c>
      <c r="F23" s="23">
        <f t="shared" si="1"/>
        <v>260.3599999999999</v>
      </c>
      <c r="G23" s="23">
        <f t="shared" si="2"/>
        <v>1023.98</v>
      </c>
      <c r="H23" s="23">
        <f>IF(ISTEXT($J$4),"",SUM(F$12:F23))</f>
        <v>3047.119999999999</v>
      </c>
      <c r="I23" s="23">
        <f>IF(ISTEXT($J$4),"",SUM(G$12:G23))</f>
        <v>12364.960000000001</v>
      </c>
      <c r="J23" s="23">
        <f t="shared" si="3"/>
        <v>223152.87999999998</v>
      </c>
      <c r="K23" s="21"/>
      <c r="L23" s="24"/>
      <c r="M23" s="24"/>
      <c r="N23" s="25"/>
      <c r="O23" s="25"/>
      <c r="P23" s="25"/>
      <c r="Q23" s="24"/>
    </row>
    <row r="24" spans="1:17" ht="9.75" customHeight="1">
      <c r="A24" s="16"/>
      <c r="B24" s="16"/>
      <c r="C24" s="16"/>
      <c r="D24" s="37"/>
      <c r="E24" s="16"/>
      <c r="F24" s="16"/>
      <c r="G24" s="16"/>
      <c r="H24" s="16"/>
      <c r="I24" s="16"/>
      <c r="J24" s="16"/>
      <c r="K24" s="16"/>
      <c r="L24" s="19"/>
      <c r="M24" s="19"/>
      <c r="N24" s="20"/>
      <c r="O24" s="20"/>
      <c r="P24" s="20"/>
      <c r="Q24" s="19"/>
    </row>
    <row r="25" spans="1:17" ht="18" customHeight="1">
      <c r="A25" s="16"/>
      <c r="B25" s="180" t="s">
        <v>74</v>
      </c>
      <c r="C25" s="181"/>
      <c r="D25" s="181"/>
      <c r="E25" s="181"/>
      <c r="F25" s="181"/>
      <c r="G25" s="181"/>
      <c r="H25" s="181"/>
      <c r="I25" s="182"/>
      <c r="J25" s="16"/>
      <c r="K25" s="16"/>
      <c r="L25" s="19"/>
      <c r="M25" s="19"/>
      <c r="N25" s="20"/>
      <c r="O25" s="20"/>
      <c r="P25" s="20"/>
      <c r="Q25" s="19"/>
    </row>
    <row r="26" spans="1:17" ht="27" customHeight="1">
      <c r="A26" s="29"/>
      <c r="B26" s="30" t="s">
        <v>13</v>
      </c>
      <c r="C26" s="31" t="s">
        <v>68</v>
      </c>
      <c r="D26" s="31" t="s">
        <v>33</v>
      </c>
      <c r="E26" s="31" t="s">
        <v>75</v>
      </c>
      <c r="F26" s="31" t="s">
        <v>47</v>
      </c>
      <c r="G26" s="38" t="s">
        <v>71</v>
      </c>
      <c r="H26" s="31" t="s">
        <v>72</v>
      </c>
      <c r="I26" s="39" t="s">
        <v>73</v>
      </c>
      <c r="J26" s="33"/>
      <c r="K26" s="29"/>
      <c r="L26" s="33"/>
      <c r="M26" s="33"/>
      <c r="N26" s="34"/>
      <c r="O26" s="34"/>
      <c r="P26" s="34"/>
      <c r="Q26" s="33"/>
    </row>
    <row r="27" spans="1:17" ht="11.25" customHeight="1">
      <c r="A27" s="21"/>
      <c r="B27" s="35">
        <f>IF(NOT(ISNUMBER(E7)),"",IF(C12="Jan",1+E7,MAX(B12:B23)))</f>
        <v>2</v>
      </c>
      <c r="C27" s="40">
        <f>IF(ISTEXT(B27),"",INDEX(J12:J23,13-O192,1))</f>
        <v>223152.87999999998</v>
      </c>
      <c r="D27" s="40">
        <f>IF(ISTEXT(B27),"",J$5*12)</f>
        <v>15412.079999999998</v>
      </c>
      <c r="E27" s="40">
        <f>IF(ISTEXT(B27),"",C27-I27)</f>
        <v>3218.7750344763917</v>
      </c>
      <c r="F27" s="40">
        <f>IF(ISTEXT(B27),"",D27-E27)</f>
        <v>12193.304965523606</v>
      </c>
      <c r="G27" s="40">
        <f>IF(ISTEXT(B27),"",E4-I27)</f>
        <v>6265.895034476416</v>
      </c>
      <c r="H27" s="40">
        <f>IF(ISTEXT(B27),"",IF(Q212&lt;12,(24-Q212)*J5-G27,24*J5-G27))</f>
        <v>24558.26496552358</v>
      </c>
      <c r="I27" s="40">
        <f aca="true" t="shared" si="5" ref="I27:I56">IF(ISTEXT(B27),"",IF(B27=Q$211,0,IF(ISTEXT(B27),"",PV(E$5/12,N205,-J$5))))</f>
        <v>219934.10496552358</v>
      </c>
      <c r="J27" s="24"/>
      <c r="K27" s="21"/>
      <c r="L27" s="24"/>
      <c r="M27" s="24"/>
      <c r="N27" s="25"/>
      <c r="O27" s="25"/>
      <c r="P27" s="25"/>
      <c r="Q27" s="24"/>
    </row>
    <row r="28" spans="1:17" ht="11.25" customHeight="1">
      <c r="A28" s="21"/>
      <c r="B28" s="35">
        <f>IF(ISTEXT(B27),"",IF(MAX(B$27:B27)=Q$211,"",B27+1))</f>
        <v>3</v>
      </c>
      <c r="C28" s="40">
        <f>IF(ISTEXT(B28),"",I27)</f>
        <v>219934.10496552358</v>
      </c>
      <c r="D28" s="40">
        <f aca="true" t="shared" si="6" ref="D28:D56">IF(ISTEXT(B28),"",J$5*MIN(12,N205))</f>
        <v>15412.079999999998</v>
      </c>
      <c r="E28" s="40">
        <f>IF(ISTEXT(B28),"",C28-I28)</f>
        <v>3400.5778383725556</v>
      </c>
      <c r="F28" s="40">
        <f>IF(ISTEXT(B28),"",D28-E28)</f>
        <v>12011.502161627443</v>
      </c>
      <c r="G28" s="40">
        <f aca="true" t="shared" si="7" ref="G28:H56">IF(ISTEXT(B28),"",G27+E28)</f>
        <v>9666.472872848972</v>
      </c>
      <c r="H28" s="40">
        <f t="shared" si="7"/>
        <v>36569.76712715102</v>
      </c>
      <c r="I28" s="40">
        <f t="shared" si="5"/>
        <v>216533.52712715103</v>
      </c>
      <c r="J28" s="24"/>
      <c r="K28" s="21"/>
      <c r="L28" s="24"/>
      <c r="M28" s="24"/>
      <c r="N28" s="25"/>
      <c r="O28" s="25"/>
      <c r="P28" s="25"/>
      <c r="Q28" s="24"/>
    </row>
    <row r="29" spans="1:17" ht="11.25" customHeight="1">
      <c r="A29" s="21"/>
      <c r="B29" s="35">
        <f>IF(ISTEXT(B28),"",IF(MAX(B$27:B28)=Q$211,"",B28+1))</f>
        <v>4</v>
      </c>
      <c r="C29" s="40">
        <f aca="true" t="shared" si="8" ref="C29:C56">IF(ISTEXT(B29),"",I28)</f>
        <v>216533.52712715103</v>
      </c>
      <c r="D29" s="40">
        <f t="shared" si="6"/>
        <v>15412.079999999998</v>
      </c>
      <c r="E29" s="40">
        <f aca="true" t="shared" si="9" ref="E29:E56">IF(ISTEXT(B29),"",C29-I29)</f>
        <v>3592.3971583096427</v>
      </c>
      <c r="F29" s="40">
        <f aca="true" t="shared" si="10" ref="F29:F56">IF(ISTEXT(B29),"",D29-E29)</f>
        <v>11819.682841690355</v>
      </c>
      <c r="G29" s="40">
        <f t="shared" si="7"/>
        <v>13258.870031158614</v>
      </c>
      <c r="H29" s="40">
        <f t="shared" si="7"/>
        <v>48389.44996884138</v>
      </c>
      <c r="I29" s="40">
        <f t="shared" si="5"/>
        <v>212941.1299688414</v>
      </c>
      <c r="J29" s="24"/>
      <c r="K29" s="21"/>
      <c r="L29" s="24"/>
      <c r="M29" s="24"/>
      <c r="N29" s="25"/>
      <c r="O29" s="25"/>
      <c r="P29" s="25"/>
      <c r="Q29" s="24"/>
    </row>
    <row r="30" spans="1:17" ht="11.25" customHeight="1">
      <c r="A30" s="21"/>
      <c r="B30" s="35">
        <f>IF(ISTEXT(B29),"",IF(MAX(B$27:B29)=Q$211,"",B29+1))</f>
        <v>5</v>
      </c>
      <c r="C30" s="40">
        <f t="shared" si="8"/>
        <v>212941.1299688414</v>
      </c>
      <c r="D30" s="40">
        <f t="shared" si="6"/>
        <v>15412.079999999998</v>
      </c>
      <c r="E30" s="40">
        <f t="shared" si="9"/>
        <v>3795.0365956649475</v>
      </c>
      <c r="F30" s="40">
        <f t="shared" si="10"/>
        <v>11617.04340433505</v>
      </c>
      <c r="G30" s="40">
        <f t="shared" si="7"/>
        <v>17053.906626823562</v>
      </c>
      <c r="H30" s="40">
        <f t="shared" si="7"/>
        <v>60006.49337317643</v>
      </c>
      <c r="I30" s="40">
        <f t="shared" si="5"/>
        <v>209146.09337317644</v>
      </c>
      <c r="J30" s="24"/>
      <c r="K30" s="21"/>
      <c r="L30" s="24"/>
      <c r="M30" s="24"/>
      <c r="N30" s="25"/>
      <c r="O30" s="25"/>
      <c r="P30" s="25"/>
      <c r="Q30" s="24"/>
    </row>
    <row r="31" spans="1:17" ht="11.25" customHeight="1">
      <c r="A31" s="21"/>
      <c r="B31" s="35">
        <f>IF(ISTEXT(B30),"",IF(MAX(B$27:B30)=Q$211,"",B30+1))</f>
        <v>6</v>
      </c>
      <c r="C31" s="40">
        <f t="shared" si="8"/>
        <v>209146.09337317644</v>
      </c>
      <c r="D31" s="40">
        <f t="shared" si="6"/>
        <v>15412.079999999998</v>
      </c>
      <c r="E31" s="40">
        <f t="shared" si="9"/>
        <v>4009.1064901112404</v>
      </c>
      <c r="F31" s="40">
        <f t="shared" si="10"/>
        <v>11402.973509888758</v>
      </c>
      <c r="G31" s="40">
        <f t="shared" si="7"/>
        <v>21063.013116934802</v>
      </c>
      <c r="H31" s="40">
        <f t="shared" si="7"/>
        <v>71409.4668830652</v>
      </c>
      <c r="I31" s="40">
        <f t="shared" si="5"/>
        <v>205136.9868830652</v>
      </c>
      <c r="J31" s="24"/>
      <c r="K31" s="21"/>
      <c r="L31" s="24"/>
      <c r="M31" s="24"/>
      <c r="N31" s="25"/>
      <c r="O31" s="25"/>
      <c r="P31" s="25"/>
      <c r="Q31" s="24"/>
    </row>
    <row r="32" spans="1:17" ht="11.25" customHeight="1">
      <c r="A32" s="21"/>
      <c r="B32" s="35">
        <f>IF(ISTEXT(B31),"",IF(MAX(B$27:B31)=Q$211,"",B31+1))</f>
        <v>7</v>
      </c>
      <c r="C32" s="40">
        <f t="shared" si="8"/>
        <v>205136.9868830652</v>
      </c>
      <c r="D32" s="40">
        <f t="shared" si="6"/>
        <v>15412.079999999998</v>
      </c>
      <c r="E32" s="40">
        <f t="shared" si="9"/>
        <v>4235.251609276194</v>
      </c>
      <c r="F32" s="40">
        <f t="shared" si="10"/>
        <v>11176.828390723804</v>
      </c>
      <c r="G32" s="40">
        <f t="shared" si="7"/>
        <v>25298.264726210997</v>
      </c>
      <c r="H32" s="40">
        <f t="shared" si="7"/>
        <v>82586.295273789</v>
      </c>
      <c r="I32" s="40">
        <f t="shared" si="5"/>
        <v>200901.735273789</v>
      </c>
      <c r="J32" s="24"/>
      <c r="K32" s="21"/>
      <c r="L32" s="24"/>
      <c r="M32" s="24"/>
      <c r="N32" s="25"/>
      <c r="O32" s="25"/>
      <c r="P32" s="25"/>
      <c r="Q32" s="24"/>
    </row>
    <row r="33" spans="1:17" ht="11.25" customHeight="1">
      <c r="A33" s="21"/>
      <c r="B33" s="35">
        <f>IF(ISTEXT(B32),"",IF(MAX(B$27:B32)=Q$211,"",B32+1))</f>
        <v>8</v>
      </c>
      <c r="C33" s="40">
        <f t="shared" si="8"/>
        <v>200901.735273789</v>
      </c>
      <c r="D33" s="40">
        <f t="shared" si="6"/>
        <v>15412.079999999998</v>
      </c>
      <c r="E33" s="40">
        <f t="shared" si="9"/>
        <v>4474.15309074978</v>
      </c>
      <c r="F33" s="40">
        <f t="shared" si="10"/>
        <v>10937.926909250218</v>
      </c>
      <c r="G33" s="40">
        <f t="shared" si="7"/>
        <v>29772.417816960777</v>
      </c>
      <c r="H33" s="40">
        <f t="shared" si="7"/>
        <v>93524.22218303922</v>
      </c>
      <c r="I33" s="40">
        <f t="shared" si="5"/>
        <v>196427.58218303922</v>
      </c>
      <c r="J33" s="24"/>
      <c r="K33" s="21"/>
      <c r="L33" s="24"/>
      <c r="M33" s="24"/>
      <c r="N33" s="25"/>
      <c r="O33" s="25"/>
      <c r="P33" s="25"/>
      <c r="Q33" s="24"/>
    </row>
    <row r="34" spans="1:17" ht="11.25" customHeight="1">
      <c r="A34" s="21"/>
      <c r="B34" s="35">
        <f>IF(ISTEXT(B33),"",IF(MAX(B$27:B33)=Q$211,"",B33+1))</f>
        <v>9</v>
      </c>
      <c r="C34" s="40">
        <f t="shared" si="8"/>
        <v>196427.58218303922</v>
      </c>
      <c r="D34" s="40">
        <f t="shared" si="6"/>
        <v>15412.079999999998</v>
      </c>
      <c r="E34" s="40">
        <f t="shared" si="9"/>
        <v>4726.530493636354</v>
      </c>
      <c r="F34" s="40">
        <f t="shared" si="10"/>
        <v>10685.549506363644</v>
      </c>
      <c r="G34" s="40">
        <f t="shared" si="7"/>
        <v>34498.94831059713</v>
      </c>
      <c r="H34" s="40">
        <f t="shared" si="7"/>
        <v>104209.77168940287</v>
      </c>
      <c r="I34" s="40">
        <f t="shared" si="5"/>
        <v>191701.05168940287</v>
      </c>
      <c r="J34" s="24"/>
      <c r="K34" s="21"/>
      <c r="L34" s="24"/>
      <c r="M34" s="24"/>
      <c r="N34" s="25"/>
      <c r="O34" s="25"/>
      <c r="P34" s="25"/>
      <c r="Q34" s="24"/>
    </row>
    <row r="35" spans="1:17" ht="11.25" customHeight="1">
      <c r="A35" s="21"/>
      <c r="B35" s="35">
        <f>IF(ISTEXT(B34),"",IF(MAX(B$27:B34)=Q$211,"",B34+1))</f>
        <v>10</v>
      </c>
      <c r="C35" s="40">
        <f t="shared" si="8"/>
        <v>191701.05168940287</v>
      </c>
      <c r="D35" s="40">
        <f t="shared" si="6"/>
        <v>15412.079999999998</v>
      </c>
      <c r="E35" s="40">
        <f t="shared" si="9"/>
        <v>4993.1439658293675</v>
      </c>
      <c r="F35" s="40">
        <f t="shared" si="10"/>
        <v>10418.93603417063</v>
      </c>
      <c r="G35" s="40">
        <f t="shared" si="7"/>
        <v>39492.0922764265</v>
      </c>
      <c r="H35" s="40">
        <f t="shared" si="7"/>
        <v>114628.7077235735</v>
      </c>
      <c r="I35" s="40">
        <f t="shared" si="5"/>
        <v>186707.9077235735</v>
      </c>
      <c r="J35" s="24"/>
      <c r="K35" s="21"/>
      <c r="L35" s="24"/>
      <c r="M35" s="24"/>
      <c r="N35" s="25"/>
      <c r="O35" s="25"/>
      <c r="P35" s="25"/>
      <c r="Q35" s="24"/>
    </row>
    <row r="36" spans="1:17" ht="11.25" customHeight="1">
      <c r="A36" s="21"/>
      <c r="B36" s="35">
        <f>IF(ISTEXT(B35),"",IF(MAX(B$27:B35)=Q$211,"",B35+1))</f>
        <v>11</v>
      </c>
      <c r="C36" s="40">
        <f t="shared" si="8"/>
        <v>186707.9077235735</v>
      </c>
      <c r="D36" s="40">
        <f t="shared" si="6"/>
        <v>15412.079999999998</v>
      </c>
      <c r="E36" s="40">
        <f t="shared" si="9"/>
        <v>5274.796533538727</v>
      </c>
      <c r="F36" s="40">
        <f t="shared" si="10"/>
        <v>10137.283466461271</v>
      </c>
      <c r="G36" s="40">
        <f t="shared" si="7"/>
        <v>44766.888809965225</v>
      </c>
      <c r="H36" s="40">
        <f t="shared" si="7"/>
        <v>124765.99119003478</v>
      </c>
      <c r="I36" s="40">
        <f t="shared" si="5"/>
        <v>181433.11119003478</v>
      </c>
      <c r="J36" s="24"/>
      <c r="K36" s="21"/>
      <c r="L36" s="24"/>
      <c r="M36" s="24"/>
      <c r="N36" s="25"/>
      <c r="O36" s="25"/>
      <c r="P36" s="25"/>
      <c r="Q36" s="24"/>
    </row>
    <row r="37" spans="1:17" ht="11.25" customHeight="1">
      <c r="A37" s="21"/>
      <c r="B37" s="35">
        <f>IF(ISTEXT(B36),"",IF(MAX(B$27:B36)=Q$211,"",B36+1))</f>
        <v>12</v>
      </c>
      <c r="C37" s="40">
        <f t="shared" si="8"/>
        <v>181433.11119003478</v>
      </c>
      <c r="D37" s="40">
        <f t="shared" si="6"/>
        <v>15412.079999999998</v>
      </c>
      <c r="E37" s="40">
        <f t="shared" si="9"/>
        <v>5572.336519964709</v>
      </c>
      <c r="F37" s="40">
        <f t="shared" si="10"/>
        <v>9839.74348003529</v>
      </c>
      <c r="G37" s="40">
        <f t="shared" si="7"/>
        <v>50339.225329929934</v>
      </c>
      <c r="H37" s="40">
        <f t="shared" si="7"/>
        <v>134605.73467007006</v>
      </c>
      <c r="I37" s="40">
        <f t="shared" si="5"/>
        <v>175860.77467007007</v>
      </c>
      <c r="J37" s="24"/>
      <c r="K37" s="21"/>
      <c r="L37" s="24"/>
      <c r="M37" s="24"/>
      <c r="N37" s="25"/>
      <c r="O37" s="25"/>
      <c r="P37" s="25"/>
      <c r="Q37" s="24"/>
    </row>
    <row r="38" spans="1:17" ht="11.25" customHeight="1">
      <c r="A38" s="21"/>
      <c r="B38" s="35">
        <f>IF(ISTEXT(B37),"",IF(MAX(B$27:B37)=Q$211,"",B37+1))</f>
        <v>13</v>
      </c>
      <c r="C38" s="40">
        <f t="shared" si="8"/>
        <v>175860.77467007007</v>
      </c>
      <c r="D38" s="40">
        <f t="shared" si="6"/>
        <v>15412.079999999998</v>
      </c>
      <c r="E38" s="40">
        <f t="shared" si="9"/>
        <v>5886.660100404086</v>
      </c>
      <c r="F38" s="40">
        <f t="shared" si="10"/>
        <v>9525.419899595912</v>
      </c>
      <c r="G38" s="40">
        <f t="shared" si="7"/>
        <v>56225.88543033402</v>
      </c>
      <c r="H38" s="40">
        <f t="shared" si="7"/>
        <v>144131.15456966596</v>
      </c>
      <c r="I38" s="40">
        <f t="shared" si="5"/>
        <v>169974.11456966598</v>
      </c>
      <c r="J38" s="24"/>
      <c r="K38" s="21"/>
      <c r="L38" s="24"/>
      <c r="M38" s="24"/>
      <c r="N38" s="25"/>
      <c r="O38" s="25"/>
      <c r="P38" s="25"/>
      <c r="Q38" s="24"/>
    </row>
    <row r="39" spans="1:17" ht="11.25" customHeight="1">
      <c r="A39" s="21"/>
      <c r="B39" s="35">
        <f>IF(ISTEXT(B38),"",IF(MAX(B$27:B38)=Q$211,"",B38+1))</f>
        <v>14</v>
      </c>
      <c r="C39" s="40">
        <f t="shared" si="8"/>
        <v>169974.11456966598</v>
      </c>
      <c r="D39" s="40">
        <f t="shared" si="6"/>
        <v>15412.079999999998</v>
      </c>
      <c r="E39" s="40">
        <f t="shared" si="9"/>
        <v>6218.714001484797</v>
      </c>
      <c r="F39" s="40">
        <f t="shared" si="10"/>
        <v>9193.3659985152</v>
      </c>
      <c r="G39" s="40">
        <f t="shared" si="7"/>
        <v>62444.59943181882</v>
      </c>
      <c r="H39" s="40">
        <f t="shared" si="7"/>
        <v>153324.52056818115</v>
      </c>
      <c r="I39" s="40">
        <f t="shared" si="5"/>
        <v>163755.40056818118</v>
      </c>
      <c r="J39" s="24"/>
      <c r="K39" s="21"/>
      <c r="L39" s="24"/>
      <c r="M39" s="24"/>
      <c r="N39" s="25"/>
      <c r="O39" s="25"/>
      <c r="P39" s="25"/>
      <c r="Q39" s="24"/>
    </row>
    <row r="40" spans="1:17" ht="11.25" customHeight="1">
      <c r="A40" s="21"/>
      <c r="B40" s="35">
        <f>IF(ISTEXT(B39),"",IF(MAX(B$27:B39)=Q$211,"",B39+1))</f>
        <v>15</v>
      </c>
      <c r="C40" s="40">
        <f t="shared" si="8"/>
        <v>163755.40056818118</v>
      </c>
      <c r="D40" s="40">
        <f t="shared" si="6"/>
        <v>15412.079999999998</v>
      </c>
      <c r="E40" s="40">
        <f t="shared" si="9"/>
        <v>6569.49835265812</v>
      </c>
      <c r="F40" s="40">
        <f t="shared" si="10"/>
        <v>8842.581647341878</v>
      </c>
      <c r="G40" s="40">
        <f t="shared" si="7"/>
        <v>69014.09778447694</v>
      </c>
      <c r="H40" s="40">
        <f t="shared" si="7"/>
        <v>162167.10221552302</v>
      </c>
      <c r="I40" s="40">
        <f t="shared" si="5"/>
        <v>157185.90221552306</v>
      </c>
      <c r="J40" s="24"/>
      <c r="K40" s="21"/>
      <c r="L40" s="24"/>
      <c r="M40" s="24"/>
      <c r="N40" s="25"/>
      <c r="O40" s="25"/>
      <c r="P40" s="25"/>
      <c r="Q40" s="24"/>
    </row>
    <row r="41" spans="1:17" ht="11.25" customHeight="1">
      <c r="A41" s="21"/>
      <c r="B41" s="35">
        <f>IF(ISTEXT(B40),"",IF(MAX(B$27:B40)=Q$211,"",B40+1))</f>
        <v>16</v>
      </c>
      <c r="C41" s="40">
        <f t="shared" si="8"/>
        <v>157185.90221552306</v>
      </c>
      <c r="D41" s="40">
        <f t="shared" si="6"/>
        <v>15412.079999999998</v>
      </c>
      <c r="E41" s="40">
        <f t="shared" si="9"/>
        <v>6940.0696985378745</v>
      </c>
      <c r="F41" s="40">
        <f t="shared" si="10"/>
        <v>8472.010301462124</v>
      </c>
      <c r="G41" s="40">
        <f t="shared" si="7"/>
        <v>75954.16748301481</v>
      </c>
      <c r="H41" s="40">
        <f t="shared" si="7"/>
        <v>170639.11251698513</v>
      </c>
      <c r="I41" s="40">
        <f t="shared" si="5"/>
        <v>150245.8325169852</v>
      </c>
      <c r="J41" s="24"/>
      <c r="K41" s="21"/>
      <c r="L41" s="24"/>
      <c r="M41" s="24"/>
      <c r="N41" s="25"/>
      <c r="O41" s="25"/>
      <c r="P41" s="25"/>
      <c r="Q41" s="24"/>
    </row>
    <row r="42" spans="1:17" ht="11.25" customHeight="1">
      <c r="A42" s="21"/>
      <c r="B42" s="35">
        <f>IF(ISTEXT(B41),"",IF(MAX(B$27:B41)=Q$211,"",B41+1))</f>
        <v>17</v>
      </c>
      <c r="C42" s="40">
        <f t="shared" si="8"/>
        <v>150245.8325169852</v>
      </c>
      <c r="D42" s="40">
        <f t="shared" si="6"/>
        <v>15412.079999999998</v>
      </c>
      <c r="E42" s="40">
        <f t="shared" si="9"/>
        <v>7331.5441811588535</v>
      </c>
      <c r="F42" s="40">
        <f t="shared" si="10"/>
        <v>8080.535818841145</v>
      </c>
      <c r="G42" s="40">
        <f t="shared" si="7"/>
        <v>83285.71166417366</v>
      </c>
      <c r="H42" s="40">
        <f t="shared" si="7"/>
        <v>178719.64833582626</v>
      </c>
      <c r="I42" s="40">
        <f t="shared" si="5"/>
        <v>142914.28833582634</v>
      </c>
      <c r="J42" s="24"/>
      <c r="K42" s="21"/>
      <c r="L42" s="24"/>
      <c r="M42" s="24"/>
      <c r="N42" s="25"/>
      <c r="O42" s="25"/>
      <c r="P42" s="25"/>
      <c r="Q42" s="24"/>
    </row>
    <row r="43" spans="1:17" ht="11.25" customHeight="1">
      <c r="A43" s="21"/>
      <c r="B43" s="35">
        <f>IF(ISTEXT(B42),"",IF(MAX(B$27:B42)=Q$211,"",B42+1))</f>
        <v>18</v>
      </c>
      <c r="C43" s="40">
        <f t="shared" si="8"/>
        <v>142914.28833582634</v>
      </c>
      <c r="D43" s="40">
        <f t="shared" si="6"/>
        <v>15412.079999999998</v>
      </c>
      <c r="E43" s="40">
        <f t="shared" si="9"/>
        <v>7745.100901740079</v>
      </c>
      <c r="F43" s="40">
        <f t="shared" si="10"/>
        <v>7666.979098259919</v>
      </c>
      <c r="G43" s="40">
        <f t="shared" si="7"/>
        <v>91030.81256591374</v>
      </c>
      <c r="H43" s="40">
        <f t="shared" si="7"/>
        <v>186386.62743408617</v>
      </c>
      <c r="I43" s="40">
        <f t="shared" si="5"/>
        <v>135169.18743408626</v>
      </c>
      <c r="J43" s="24"/>
      <c r="K43" s="21"/>
      <c r="L43" s="24"/>
      <c r="M43" s="24"/>
      <c r="N43" s="25"/>
      <c r="O43" s="25"/>
      <c r="P43" s="25"/>
      <c r="Q43" s="24"/>
    </row>
    <row r="44" spans="1:17" ht="11.25" customHeight="1">
      <c r="A44" s="21"/>
      <c r="B44" s="35">
        <f>IF(ISTEXT(B43),"",IF(MAX(B$27:B43)=Q$211,"",B43+1))</f>
        <v>19</v>
      </c>
      <c r="C44" s="40">
        <f t="shared" si="8"/>
        <v>135169.18743408626</v>
      </c>
      <c r="D44" s="40">
        <f t="shared" si="6"/>
        <v>15412.079999999998</v>
      </c>
      <c r="E44" s="40">
        <f t="shared" si="9"/>
        <v>8181.9854720773</v>
      </c>
      <c r="F44" s="40">
        <f t="shared" si="10"/>
        <v>7230.094527922698</v>
      </c>
      <c r="G44" s="40">
        <f t="shared" si="7"/>
        <v>99212.79803799104</v>
      </c>
      <c r="H44" s="40">
        <f t="shared" si="7"/>
        <v>193616.72196200886</v>
      </c>
      <c r="I44" s="40">
        <f t="shared" si="5"/>
        <v>126987.20196200896</v>
      </c>
      <c r="J44" s="24"/>
      <c r="K44" s="21"/>
      <c r="L44" s="24"/>
      <c r="M44" s="24"/>
      <c r="N44" s="25"/>
      <c r="O44" s="25"/>
      <c r="P44" s="25"/>
      <c r="Q44" s="24"/>
    </row>
    <row r="45" spans="1:17" ht="11.25" customHeight="1">
      <c r="A45" s="21"/>
      <c r="B45" s="35">
        <f>IF(ISTEXT(B44),"",IF(MAX(B$27:B44)=Q$211,"",B44+1))</f>
        <v>20</v>
      </c>
      <c r="C45" s="40">
        <f t="shared" si="8"/>
        <v>126987.20196200896</v>
      </c>
      <c r="D45" s="40">
        <f t="shared" si="6"/>
        <v>15412.079999999998</v>
      </c>
      <c r="E45" s="40">
        <f t="shared" si="9"/>
        <v>8643.513766262724</v>
      </c>
      <c r="F45" s="40">
        <f t="shared" si="10"/>
        <v>6768.566233737274</v>
      </c>
      <c r="G45" s="40">
        <f t="shared" si="7"/>
        <v>107856.31180425377</v>
      </c>
      <c r="H45" s="40">
        <f t="shared" si="7"/>
        <v>200385.28819574614</v>
      </c>
      <c r="I45" s="40">
        <f t="shared" si="5"/>
        <v>118343.68819574623</v>
      </c>
      <c r="J45" s="24"/>
      <c r="K45" s="21"/>
      <c r="L45" s="24"/>
      <c r="M45" s="24"/>
      <c r="N45" s="25"/>
      <c r="O45" s="25"/>
      <c r="P45" s="25"/>
      <c r="Q45" s="24"/>
    </row>
    <row r="46" spans="1:17" ht="11.25" customHeight="1">
      <c r="A46" s="21"/>
      <c r="B46" s="35">
        <f>IF(ISTEXT(B45),"",IF(MAX(B$27:B45)=Q$211,"",B45+1))</f>
        <v>21</v>
      </c>
      <c r="C46" s="40">
        <f t="shared" si="8"/>
        <v>118343.68819574623</v>
      </c>
      <c r="D46" s="40">
        <f t="shared" si="6"/>
        <v>15412.079999999998</v>
      </c>
      <c r="E46" s="40">
        <f t="shared" si="9"/>
        <v>9131.075884030535</v>
      </c>
      <c r="F46" s="40">
        <f t="shared" si="10"/>
        <v>6281.004115969463</v>
      </c>
      <c r="G46" s="40">
        <f t="shared" si="7"/>
        <v>116987.3876882843</v>
      </c>
      <c r="H46" s="40">
        <f t="shared" si="7"/>
        <v>206666.2923117156</v>
      </c>
      <c r="I46" s="40">
        <f t="shared" si="5"/>
        <v>109212.6123117157</v>
      </c>
      <c r="J46" s="24"/>
      <c r="K46" s="21"/>
      <c r="L46" s="24"/>
      <c r="M46" s="24"/>
      <c r="N46" s="25"/>
      <c r="O46" s="25"/>
      <c r="P46" s="25"/>
      <c r="Q46" s="24"/>
    </row>
    <row r="47" spans="1:17" ht="11.25" customHeight="1">
      <c r="A47" s="21"/>
      <c r="B47" s="35">
        <f>IF(ISTEXT(B46),"",IF(MAX(B$27:B46)=Q$211,"",B46+1))</f>
        <v>22</v>
      </c>
      <c r="C47" s="40">
        <f t="shared" si="8"/>
        <v>109212.6123117157</v>
      </c>
      <c r="D47" s="40">
        <f t="shared" si="6"/>
        <v>15412.079999999998</v>
      </c>
      <c r="E47" s="40">
        <f t="shared" si="9"/>
        <v>9646.140337666613</v>
      </c>
      <c r="F47" s="40">
        <f t="shared" si="10"/>
        <v>5765.939662333385</v>
      </c>
      <c r="G47" s="40">
        <f t="shared" si="7"/>
        <v>126633.52802595092</v>
      </c>
      <c r="H47" s="40">
        <f t="shared" si="7"/>
        <v>212432.23197404898</v>
      </c>
      <c r="I47" s="40">
        <f t="shared" si="5"/>
        <v>99566.47197404908</v>
      </c>
      <c r="J47" s="24"/>
      <c r="K47" s="21"/>
      <c r="L47" s="24"/>
      <c r="M47" s="24"/>
      <c r="N47" s="25"/>
      <c r="O47" s="25"/>
      <c r="P47" s="25"/>
      <c r="Q47" s="24"/>
    </row>
    <row r="48" spans="1:17" ht="11.25" customHeight="1">
      <c r="A48" s="21"/>
      <c r="B48" s="35">
        <f>IF(ISTEXT(B47),"",IF(MAX(B$27:B47)=Q$211,"",B47+1))</f>
        <v>23</v>
      </c>
      <c r="C48" s="40">
        <f t="shared" si="8"/>
        <v>99566.47197404908</v>
      </c>
      <c r="D48" s="40">
        <f t="shared" si="6"/>
        <v>15412.079999999998</v>
      </c>
      <c r="E48" s="40">
        <f t="shared" si="9"/>
        <v>10190.258475093055</v>
      </c>
      <c r="F48" s="40">
        <f t="shared" si="10"/>
        <v>5221.8215249069435</v>
      </c>
      <c r="G48" s="40">
        <f t="shared" si="7"/>
        <v>136823.78650104397</v>
      </c>
      <c r="H48" s="40">
        <f t="shared" si="7"/>
        <v>217654.0534989559</v>
      </c>
      <c r="I48" s="40">
        <f t="shared" si="5"/>
        <v>89376.21349895603</v>
      </c>
      <c r="J48" s="24"/>
      <c r="K48" s="21"/>
      <c r="L48" s="24"/>
      <c r="M48" s="24"/>
      <c r="N48" s="25"/>
      <c r="O48" s="25"/>
      <c r="P48" s="25"/>
      <c r="Q48" s="24"/>
    </row>
    <row r="49" spans="1:17" ht="11.25" customHeight="1">
      <c r="A49" s="21"/>
      <c r="B49" s="35">
        <f>IF(ISTEXT(B48),"",IF(MAX(B$27:B48)=Q$211,"",B48+1))</f>
        <v>24</v>
      </c>
      <c r="C49" s="40">
        <f t="shared" si="8"/>
        <v>89376.21349895603</v>
      </c>
      <c r="D49" s="40">
        <f t="shared" si="6"/>
        <v>15412.079999999998</v>
      </c>
      <c r="E49" s="40">
        <f t="shared" si="9"/>
        <v>10765.069152448574</v>
      </c>
      <c r="F49" s="40">
        <f t="shared" si="10"/>
        <v>4647.010847551424</v>
      </c>
      <c r="G49" s="40">
        <f t="shared" si="7"/>
        <v>147588.85565349256</v>
      </c>
      <c r="H49" s="40">
        <f t="shared" si="7"/>
        <v>222301.06434650734</v>
      </c>
      <c r="I49" s="40">
        <f t="shared" si="5"/>
        <v>78611.14434650746</v>
      </c>
      <c r="J49" s="24"/>
      <c r="K49" s="21"/>
      <c r="L49" s="24"/>
      <c r="M49" s="24"/>
      <c r="N49" s="25"/>
      <c r="O49" s="25"/>
      <c r="P49" s="25"/>
      <c r="Q49" s="24"/>
    </row>
    <row r="50" spans="1:17" ht="11.25" customHeight="1">
      <c r="A50" s="21"/>
      <c r="B50" s="35">
        <f>IF(ISTEXT(B49),"",IF(MAX(B$27:B49)=Q$211,"",B49+1))</f>
        <v>25</v>
      </c>
      <c r="C50" s="40">
        <f t="shared" si="8"/>
        <v>78611.14434650746</v>
      </c>
      <c r="D50" s="40">
        <f t="shared" si="6"/>
        <v>15412.079999999998</v>
      </c>
      <c r="E50" s="40">
        <f t="shared" si="9"/>
        <v>11372.30367024058</v>
      </c>
      <c r="F50" s="40">
        <f t="shared" si="10"/>
        <v>4039.7763297594174</v>
      </c>
      <c r="G50" s="40">
        <f t="shared" si="7"/>
        <v>158961.15932373313</v>
      </c>
      <c r="H50" s="40">
        <f t="shared" si="7"/>
        <v>226340.84067626676</v>
      </c>
      <c r="I50" s="40">
        <f t="shared" si="5"/>
        <v>67238.84067626687</v>
      </c>
      <c r="J50" s="24"/>
      <c r="K50" s="21"/>
      <c r="L50" s="24"/>
      <c r="M50" s="24"/>
      <c r="N50" s="25"/>
      <c r="O50" s="25"/>
      <c r="P50" s="25"/>
      <c r="Q50" s="24"/>
    </row>
    <row r="51" spans="1:17" ht="11.25" customHeight="1">
      <c r="A51" s="21"/>
      <c r="B51" s="35">
        <f>IF(ISTEXT(B50),"",IF(MAX(B$27:B50)=Q$211,"",B50+1))</f>
        <v>26</v>
      </c>
      <c r="C51" s="40">
        <f t="shared" si="8"/>
        <v>67238.84067626687</v>
      </c>
      <c r="D51" s="40">
        <f t="shared" si="6"/>
        <v>15412.079999999998</v>
      </c>
      <c r="E51" s="40">
        <f t="shared" si="9"/>
        <v>12013.790987933404</v>
      </c>
      <c r="F51" s="40">
        <f t="shared" si="10"/>
        <v>3398.2890120665943</v>
      </c>
      <c r="G51" s="40">
        <f t="shared" si="7"/>
        <v>170974.95031166653</v>
      </c>
      <c r="H51" s="40">
        <f t="shared" si="7"/>
        <v>229739.12968833334</v>
      </c>
      <c r="I51" s="40">
        <f t="shared" si="5"/>
        <v>55225.04968833347</v>
      </c>
      <c r="J51" s="24"/>
      <c r="K51" s="21"/>
      <c r="L51" s="24"/>
      <c r="M51" s="24"/>
      <c r="N51" s="25"/>
      <c r="O51" s="25"/>
      <c r="P51" s="25"/>
      <c r="Q51" s="24"/>
    </row>
    <row r="52" spans="1:17" ht="11.25" customHeight="1">
      <c r="A52" s="21"/>
      <c r="B52" s="35">
        <f>IF(ISTEXT(B51),"",IF(MAX(B$27:B51)=Q$211,"",B51+1))</f>
        <v>27</v>
      </c>
      <c r="C52" s="40">
        <f t="shared" si="8"/>
        <v>55225.04968833347</v>
      </c>
      <c r="D52" s="40">
        <f t="shared" si="6"/>
        <v>15412.079999999998</v>
      </c>
      <c r="E52" s="40">
        <f t="shared" si="9"/>
        <v>12691.463232681723</v>
      </c>
      <c r="F52" s="40">
        <f t="shared" si="10"/>
        <v>2720.6167673182754</v>
      </c>
      <c r="G52" s="40">
        <f t="shared" si="7"/>
        <v>183666.41354434827</v>
      </c>
      <c r="H52" s="40">
        <f t="shared" si="7"/>
        <v>232459.74645565162</v>
      </c>
      <c r="I52" s="40">
        <f t="shared" si="5"/>
        <v>42533.58645565175</v>
      </c>
      <c r="J52" s="24"/>
      <c r="K52" s="21"/>
      <c r="L52" s="24"/>
      <c r="M52" s="24"/>
      <c r="N52" s="25"/>
      <c r="O52" s="25"/>
      <c r="P52" s="25"/>
      <c r="Q52" s="24"/>
    </row>
    <row r="53" spans="1:17" ht="11.25" customHeight="1">
      <c r="A53" s="21"/>
      <c r="B53" s="35">
        <f>IF(ISTEXT(B52),"",IF(MAX(B$27:B52)=Q$211,"",B52+1))</f>
        <v>28</v>
      </c>
      <c r="C53" s="40">
        <f t="shared" si="8"/>
        <v>42533.58645565175</v>
      </c>
      <c r="D53" s="40">
        <f t="shared" si="6"/>
        <v>15412.079999999998</v>
      </c>
      <c r="E53" s="40">
        <f t="shared" si="9"/>
        <v>13407.361518799018</v>
      </c>
      <c r="F53" s="40">
        <f t="shared" si="10"/>
        <v>2004.71848120098</v>
      </c>
      <c r="G53" s="40">
        <f t="shared" si="7"/>
        <v>197073.77506314727</v>
      </c>
      <c r="H53" s="40">
        <f t="shared" si="7"/>
        <v>234464.4649368526</v>
      </c>
      <c r="I53" s="40">
        <f t="shared" si="5"/>
        <v>29126.22493685273</v>
      </c>
      <c r="J53" s="24"/>
      <c r="K53" s="21"/>
      <c r="L53" s="24"/>
      <c r="M53" s="24"/>
      <c r="N53" s="25"/>
      <c r="O53" s="25"/>
      <c r="P53" s="25"/>
      <c r="Q53" s="24"/>
    </row>
    <row r="54" spans="1:17" ht="11.25" customHeight="1">
      <c r="A54" s="21"/>
      <c r="B54" s="35">
        <f>IF(ISTEXT(B53),"",IF(MAX(B$27:B53)=Q$211,"",B53+1))</f>
        <v>29</v>
      </c>
      <c r="C54" s="40">
        <f t="shared" si="8"/>
        <v>29126.22493685273</v>
      </c>
      <c r="D54" s="40">
        <f t="shared" si="6"/>
        <v>15412.079999999998</v>
      </c>
      <c r="E54" s="40">
        <f t="shared" si="9"/>
        <v>14163.64209548985</v>
      </c>
      <c r="F54" s="40">
        <f t="shared" si="10"/>
        <v>1248.4379045101487</v>
      </c>
      <c r="G54" s="40">
        <f t="shared" si="7"/>
        <v>211237.41715863714</v>
      </c>
      <c r="H54" s="40">
        <f t="shared" si="7"/>
        <v>235712.90284136275</v>
      </c>
      <c r="I54" s="40">
        <f t="shared" si="5"/>
        <v>14962.58284136288</v>
      </c>
      <c r="J54" s="24"/>
      <c r="K54" s="21"/>
      <c r="L54" s="24"/>
      <c r="M54" s="24"/>
      <c r="N54" s="25"/>
      <c r="O54" s="25"/>
      <c r="P54" s="25"/>
      <c r="Q54" s="24"/>
    </row>
    <row r="55" spans="1:17" ht="11.25" customHeight="1">
      <c r="A55" s="21"/>
      <c r="B55" s="35">
        <f>IF(ISTEXT(B54),"",IF(MAX(B$27:B54)=Q$211,"",B54+1))</f>
        <v>30</v>
      </c>
      <c r="C55" s="40">
        <f t="shared" si="8"/>
        <v>14962.58284136288</v>
      </c>
      <c r="D55" s="40">
        <f t="shared" si="6"/>
        <v>15412.079999999998</v>
      </c>
      <c r="E55" s="40">
        <f t="shared" si="9"/>
        <v>14962.58284136288</v>
      </c>
      <c r="F55" s="40">
        <f t="shared" si="10"/>
        <v>449.49715863711754</v>
      </c>
      <c r="G55" s="40">
        <f t="shared" si="7"/>
        <v>226200.00000000003</v>
      </c>
      <c r="H55" s="40">
        <f t="shared" si="7"/>
        <v>236162.39999999988</v>
      </c>
      <c r="I55" s="40">
        <f t="shared" si="5"/>
        <v>0</v>
      </c>
      <c r="J55" s="24"/>
      <c r="K55" s="21"/>
      <c r="L55" s="24"/>
      <c r="M55" s="24"/>
      <c r="N55" s="25"/>
      <c r="O55" s="25"/>
      <c r="P55" s="25"/>
      <c r="Q55" s="24"/>
    </row>
    <row r="56" spans="1:17" ht="11.25" customHeight="1">
      <c r="A56" s="21"/>
      <c r="B56" s="35">
        <f>IF(ISTEXT(B55),"",IF(MAX(B$27:B55)=Q$211,"",B55+1))</f>
      </c>
      <c r="C56" s="40">
        <f t="shared" si="8"/>
      </c>
      <c r="D56" s="40">
        <f t="shared" si="6"/>
      </c>
      <c r="E56" s="40">
        <f t="shared" si="9"/>
      </c>
      <c r="F56" s="40">
        <f t="shared" si="10"/>
      </c>
      <c r="G56" s="40">
        <f t="shared" si="7"/>
      </c>
      <c r="H56" s="40">
        <f t="shared" si="7"/>
      </c>
      <c r="I56" s="40">
        <f t="shared" si="5"/>
      </c>
      <c r="J56" s="24"/>
      <c r="K56" s="21"/>
      <c r="L56" s="24"/>
      <c r="M56" s="24"/>
      <c r="N56" s="25"/>
      <c r="O56" s="25"/>
      <c r="P56" s="25"/>
      <c r="Q56" s="24"/>
    </row>
    <row r="57" spans="1:17" ht="12.75">
      <c r="A57" s="19"/>
      <c r="B57" s="19"/>
      <c r="C57" s="41"/>
      <c r="D57" s="41"/>
      <c r="E57" s="41"/>
      <c r="F57" s="41"/>
      <c r="G57" s="41"/>
      <c r="H57" s="41"/>
      <c r="I57" s="41"/>
      <c r="J57" s="19"/>
      <c r="K57" s="19"/>
      <c r="L57" s="19"/>
      <c r="M57" s="19"/>
      <c r="N57" s="20"/>
      <c r="O57" s="20"/>
      <c r="P57" s="20"/>
      <c r="Q57" s="19"/>
    </row>
    <row r="58" spans="1:17" ht="12.75">
      <c r="A58" s="19"/>
      <c r="B58" s="19"/>
      <c r="C58" s="41"/>
      <c r="D58" s="41"/>
      <c r="E58" s="41"/>
      <c r="F58" s="41"/>
      <c r="G58" s="41"/>
      <c r="H58" s="41"/>
      <c r="I58" s="41"/>
      <c r="J58" s="19"/>
      <c r="K58" s="19"/>
      <c r="L58" s="19"/>
      <c r="M58" s="19"/>
      <c r="N58" s="20"/>
      <c r="O58" s="20"/>
      <c r="P58" s="20"/>
      <c r="Q58" s="19"/>
    </row>
    <row r="59" spans="1:17" ht="12.75">
      <c r="A59" s="19"/>
      <c r="B59" s="19"/>
      <c r="C59" s="41"/>
      <c r="D59" s="41"/>
      <c r="E59" s="41"/>
      <c r="F59" s="41"/>
      <c r="G59" s="41"/>
      <c r="H59" s="41"/>
      <c r="I59" s="41"/>
      <c r="J59" s="19"/>
      <c r="K59" s="19"/>
      <c r="L59" s="19"/>
      <c r="M59" s="19"/>
      <c r="N59" s="20"/>
      <c r="O59" s="20"/>
      <c r="P59" s="20"/>
      <c r="Q59" s="19"/>
    </row>
    <row r="60" spans="1:17" ht="12.75">
      <c r="A60" s="19"/>
      <c r="B60" s="19"/>
      <c r="C60" s="41"/>
      <c r="D60" s="41"/>
      <c r="E60" s="41"/>
      <c r="F60" s="41"/>
      <c r="G60" s="41"/>
      <c r="H60" s="41"/>
      <c r="I60" s="41"/>
      <c r="J60" s="19"/>
      <c r="K60" s="19"/>
      <c r="L60" s="19"/>
      <c r="M60" s="19"/>
      <c r="N60" s="20"/>
      <c r="O60" s="20"/>
      <c r="P60" s="20"/>
      <c r="Q60" s="19"/>
    </row>
    <row r="61" spans="1:17" ht="12.75">
      <c r="A61" s="19"/>
      <c r="B61" s="19"/>
      <c r="C61" s="41"/>
      <c r="D61" s="41"/>
      <c r="E61" s="41"/>
      <c r="F61" s="41"/>
      <c r="G61" s="41"/>
      <c r="H61" s="41"/>
      <c r="I61" s="41"/>
      <c r="J61" s="19"/>
      <c r="K61" s="19"/>
      <c r="L61" s="19"/>
      <c r="M61" s="19"/>
      <c r="N61" s="20"/>
      <c r="O61" s="20"/>
      <c r="P61" s="20"/>
      <c r="Q61" s="19"/>
    </row>
    <row r="62" spans="1:17" ht="12.75">
      <c r="A62" s="19"/>
      <c r="B62" s="19"/>
      <c r="C62" s="41"/>
      <c r="D62" s="41"/>
      <c r="E62" s="41"/>
      <c r="F62" s="41"/>
      <c r="G62" s="41"/>
      <c r="H62" s="41"/>
      <c r="I62" s="41"/>
      <c r="J62" s="19"/>
      <c r="K62" s="19"/>
      <c r="L62" s="19"/>
      <c r="M62" s="19"/>
      <c r="N62" s="20"/>
      <c r="O62" s="20"/>
      <c r="P62" s="20"/>
      <c r="Q62" s="19"/>
    </row>
    <row r="63" spans="1:17" ht="12.75">
      <c r="A63" s="19"/>
      <c r="B63" s="19"/>
      <c r="C63" s="41"/>
      <c r="D63" s="41"/>
      <c r="E63" s="41"/>
      <c r="F63" s="41"/>
      <c r="G63" s="41"/>
      <c r="H63" s="41"/>
      <c r="I63" s="41"/>
      <c r="J63" s="19"/>
      <c r="K63" s="19"/>
      <c r="L63" s="19"/>
      <c r="M63" s="19"/>
      <c r="N63" s="20"/>
      <c r="O63" s="20"/>
      <c r="P63" s="20"/>
      <c r="Q63" s="19"/>
    </row>
    <row r="64" spans="1:17" ht="12.75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20"/>
      <c r="O64" s="20"/>
      <c r="P64" s="20"/>
      <c r="Q64" s="19"/>
    </row>
    <row r="65" spans="1:17" ht="12.75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20"/>
      <c r="O65" s="20"/>
      <c r="P65" s="20"/>
      <c r="Q65" s="19"/>
    </row>
    <row r="66" spans="1:17" ht="12.75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20"/>
      <c r="O66" s="20"/>
      <c r="P66" s="20"/>
      <c r="Q66" s="19"/>
    </row>
    <row r="67" spans="1:17" ht="12.75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20"/>
      <c r="O67" s="20"/>
      <c r="P67" s="20"/>
      <c r="Q67" s="19"/>
    </row>
    <row r="68" spans="1:17" ht="12.75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20"/>
      <c r="O68" s="20"/>
      <c r="P68" s="20"/>
      <c r="Q68" s="19"/>
    </row>
    <row r="69" spans="1:17" ht="12.75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20"/>
      <c r="O69" s="20"/>
      <c r="P69" s="20"/>
      <c r="Q69" s="19"/>
    </row>
    <row r="70" spans="1:17" ht="12.75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20"/>
      <c r="O70" s="20"/>
      <c r="P70" s="20"/>
      <c r="Q70" s="19"/>
    </row>
    <row r="71" spans="1:17" ht="12.75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20"/>
      <c r="O71" s="20"/>
      <c r="P71" s="20"/>
      <c r="Q71" s="19"/>
    </row>
    <row r="72" spans="1:17" ht="12.75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20"/>
      <c r="O72" s="20"/>
      <c r="P72" s="20"/>
      <c r="Q72" s="19"/>
    </row>
    <row r="73" spans="1:17" ht="12.75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20"/>
      <c r="O73" s="20"/>
      <c r="P73" s="20"/>
      <c r="Q73" s="19"/>
    </row>
    <row r="74" spans="1:17" ht="12.75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20"/>
      <c r="O74" s="20"/>
      <c r="P74" s="20"/>
      <c r="Q74" s="19"/>
    </row>
    <row r="75" spans="1:17" ht="12.75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20"/>
      <c r="O75" s="20"/>
      <c r="P75" s="20"/>
      <c r="Q75" s="19"/>
    </row>
    <row r="76" spans="1:17" ht="12.75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20"/>
      <c r="O76" s="20"/>
      <c r="P76" s="20"/>
      <c r="Q76" s="19"/>
    </row>
    <row r="77" spans="1:17" ht="12.75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20"/>
      <c r="O77" s="20"/>
      <c r="P77" s="20"/>
      <c r="Q77" s="19"/>
    </row>
    <row r="78" spans="1:17" ht="12.75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20"/>
      <c r="O78" s="20"/>
      <c r="P78" s="20"/>
      <c r="Q78" s="19"/>
    </row>
    <row r="79" spans="1:17" ht="12.75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20"/>
      <c r="O79" s="20"/>
      <c r="P79" s="20"/>
      <c r="Q79" s="19"/>
    </row>
    <row r="80" spans="1:17" ht="12.75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20"/>
      <c r="O80" s="20"/>
      <c r="P80" s="20"/>
      <c r="Q80" s="19"/>
    </row>
    <row r="81" spans="1:17" ht="12.75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20"/>
      <c r="O81" s="20"/>
      <c r="P81" s="20"/>
      <c r="Q81" s="19"/>
    </row>
    <row r="82" spans="1:17" ht="12.75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20"/>
      <c r="O82" s="20"/>
      <c r="P82" s="20"/>
      <c r="Q82" s="19"/>
    </row>
    <row r="83" spans="1:17" ht="12.75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20"/>
      <c r="O83" s="20"/>
      <c r="P83" s="20"/>
      <c r="Q83" s="19"/>
    </row>
    <row r="84" spans="1:17" ht="12.75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20"/>
      <c r="O84" s="20"/>
      <c r="P84" s="20"/>
      <c r="Q84" s="19"/>
    </row>
    <row r="85" spans="1:17" ht="12.75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20"/>
      <c r="O85" s="20"/>
      <c r="P85" s="20"/>
      <c r="Q85" s="19"/>
    </row>
    <row r="86" spans="1:17" ht="12.75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20"/>
      <c r="O86" s="20"/>
      <c r="P86" s="20"/>
      <c r="Q86" s="19"/>
    </row>
    <row r="87" spans="1:17" ht="12.75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20"/>
      <c r="O87" s="20"/>
      <c r="P87" s="20"/>
      <c r="Q87" s="19"/>
    </row>
    <row r="88" spans="1:17" ht="12.75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20"/>
      <c r="O88" s="20"/>
      <c r="P88" s="20"/>
      <c r="Q88" s="19"/>
    </row>
    <row r="89" spans="1:17" ht="12.75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20"/>
      <c r="O89" s="20"/>
      <c r="P89" s="20"/>
      <c r="Q89" s="19"/>
    </row>
    <row r="90" spans="1:17" ht="12.75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20"/>
      <c r="O90" s="20"/>
      <c r="P90" s="20"/>
      <c r="Q90" s="19"/>
    </row>
    <row r="91" spans="1:17" ht="12.75">
      <c r="A91" s="19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20"/>
      <c r="O91" s="20"/>
      <c r="P91" s="20"/>
      <c r="Q91" s="19"/>
    </row>
    <row r="92" spans="1:17" ht="12.75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20"/>
      <c r="O92" s="20"/>
      <c r="P92" s="20"/>
      <c r="Q92" s="19"/>
    </row>
    <row r="93" spans="1:17" ht="12.75">
      <c r="A93" s="19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20"/>
      <c r="O93" s="20"/>
      <c r="P93" s="20"/>
      <c r="Q93" s="19"/>
    </row>
    <row r="94" spans="1:17" ht="12.75">
      <c r="A94" s="19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20"/>
      <c r="O94" s="20"/>
      <c r="P94" s="20"/>
      <c r="Q94" s="19"/>
    </row>
    <row r="95" spans="1:17" ht="12.75">
      <c r="A95" s="19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20"/>
      <c r="O95" s="20"/>
      <c r="P95" s="20"/>
      <c r="Q95" s="19"/>
    </row>
    <row r="96" spans="1:17" ht="12.75">
      <c r="A96" s="19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20"/>
      <c r="O96" s="20"/>
      <c r="P96" s="20"/>
      <c r="Q96" s="19"/>
    </row>
    <row r="97" spans="1:17" ht="12.75">
      <c r="A97" s="19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20"/>
      <c r="O97" s="20"/>
      <c r="P97" s="20"/>
      <c r="Q97" s="19"/>
    </row>
    <row r="98" spans="1:17" ht="12.75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20"/>
      <c r="O98" s="20"/>
      <c r="P98" s="20"/>
      <c r="Q98" s="19"/>
    </row>
    <row r="99" spans="1:17" ht="12.75">
      <c r="A99" s="19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20"/>
      <c r="O99" s="20"/>
      <c r="P99" s="20"/>
      <c r="Q99" s="19"/>
    </row>
    <row r="100" spans="1:17" ht="12.75">
      <c r="A100" s="19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20"/>
      <c r="O100" s="20"/>
      <c r="P100" s="20"/>
      <c r="Q100" s="19"/>
    </row>
    <row r="101" spans="1:17" ht="12.75">
      <c r="A101" s="19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20"/>
      <c r="O101" s="20"/>
      <c r="P101" s="20"/>
      <c r="Q101" s="19"/>
    </row>
    <row r="102" spans="1:17" ht="12.75">
      <c r="A102" s="19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20"/>
      <c r="O102" s="20"/>
      <c r="P102" s="20"/>
      <c r="Q102" s="19"/>
    </row>
    <row r="103" spans="1:17" ht="12.75">
      <c r="A103" s="19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20"/>
      <c r="O103" s="20"/>
      <c r="P103" s="20"/>
      <c r="Q103" s="19"/>
    </row>
    <row r="104" spans="1:17" ht="12.75">
      <c r="A104" s="19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20"/>
      <c r="O104" s="20"/>
      <c r="P104" s="20"/>
      <c r="Q104" s="19"/>
    </row>
    <row r="105" spans="1:17" ht="12.75">
      <c r="A105" s="19"/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20"/>
      <c r="O105" s="20"/>
      <c r="P105" s="20"/>
      <c r="Q105" s="19"/>
    </row>
    <row r="106" spans="1:17" ht="12.75">
      <c r="A106" s="19"/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20"/>
      <c r="O106" s="20"/>
      <c r="P106" s="20"/>
      <c r="Q106" s="19"/>
    </row>
    <row r="107" spans="1:17" ht="12.75">
      <c r="A107" s="19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20"/>
      <c r="O107" s="20"/>
      <c r="P107" s="20"/>
      <c r="Q107" s="19"/>
    </row>
    <row r="108" spans="1:17" ht="12.75">
      <c r="A108" s="19"/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20"/>
      <c r="O108" s="20"/>
      <c r="P108" s="20"/>
      <c r="Q108" s="19"/>
    </row>
    <row r="109" spans="1:17" ht="12.75">
      <c r="A109" s="19"/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20"/>
      <c r="O109" s="20"/>
      <c r="P109" s="20"/>
      <c r="Q109" s="19"/>
    </row>
    <row r="110" spans="1:17" ht="12.75">
      <c r="A110" s="19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20"/>
      <c r="O110" s="20"/>
      <c r="P110" s="20"/>
      <c r="Q110" s="19"/>
    </row>
    <row r="111" spans="1:17" ht="12.75">
      <c r="A111" s="19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20"/>
      <c r="O111" s="20"/>
      <c r="P111" s="20"/>
      <c r="Q111" s="19"/>
    </row>
    <row r="112" spans="1:17" ht="12.75">
      <c r="A112" s="19"/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20"/>
      <c r="O112" s="20"/>
      <c r="P112" s="20"/>
      <c r="Q112" s="19"/>
    </row>
    <row r="113" spans="1:17" ht="12.75">
      <c r="A113" s="19"/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20"/>
      <c r="O113" s="20"/>
      <c r="P113" s="20"/>
      <c r="Q113" s="19"/>
    </row>
    <row r="114" spans="1:17" ht="12.75">
      <c r="A114" s="19"/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20"/>
      <c r="O114" s="20"/>
      <c r="P114" s="20"/>
      <c r="Q114" s="19"/>
    </row>
    <row r="115" spans="1:17" ht="12.75">
      <c r="A115" s="19"/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20"/>
      <c r="O115" s="20"/>
      <c r="P115" s="20"/>
      <c r="Q115" s="19"/>
    </row>
    <row r="116" spans="1:17" ht="12.75">
      <c r="A116" s="19"/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20"/>
      <c r="O116" s="20"/>
      <c r="P116" s="20"/>
      <c r="Q116" s="19"/>
    </row>
    <row r="117" spans="1:17" ht="12.75">
      <c r="A117" s="19"/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20"/>
      <c r="O117" s="20"/>
      <c r="P117" s="20"/>
      <c r="Q117" s="19"/>
    </row>
    <row r="118" spans="1:17" ht="12.75">
      <c r="A118" s="19"/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20"/>
      <c r="O118" s="20"/>
      <c r="P118" s="20"/>
      <c r="Q118" s="19"/>
    </row>
    <row r="119" spans="1:17" ht="12.75">
      <c r="A119" s="19"/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20"/>
      <c r="O119" s="20"/>
      <c r="P119" s="20"/>
      <c r="Q119" s="19"/>
    </row>
    <row r="120" spans="1:17" ht="12.75">
      <c r="A120" s="19"/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20"/>
      <c r="O120" s="20"/>
      <c r="P120" s="20"/>
      <c r="Q120" s="19"/>
    </row>
    <row r="121" spans="1:17" ht="12.75">
      <c r="A121" s="19"/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20"/>
      <c r="O121" s="20"/>
      <c r="P121" s="20"/>
      <c r="Q121" s="19"/>
    </row>
    <row r="122" spans="1:17" ht="12.75">
      <c r="A122" s="19"/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20"/>
      <c r="O122" s="20"/>
      <c r="P122" s="20"/>
      <c r="Q122" s="19"/>
    </row>
    <row r="123" spans="1:17" ht="12.75">
      <c r="A123" s="19"/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20"/>
      <c r="O123" s="20"/>
      <c r="P123" s="20"/>
      <c r="Q123" s="19"/>
    </row>
    <row r="124" spans="1:17" ht="12.75">
      <c r="A124" s="19"/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20"/>
      <c r="O124" s="20"/>
      <c r="P124" s="20"/>
      <c r="Q124" s="19"/>
    </row>
    <row r="125" spans="1:17" ht="12.75">
      <c r="A125" s="19"/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20"/>
      <c r="O125" s="20"/>
      <c r="P125" s="20"/>
      <c r="Q125" s="19"/>
    </row>
    <row r="126" spans="1:17" ht="12.75">
      <c r="A126" s="19"/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20"/>
      <c r="O126" s="20"/>
      <c r="P126" s="20"/>
      <c r="Q126" s="19"/>
    </row>
    <row r="127" spans="1:17" ht="12.75">
      <c r="A127" s="19"/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20"/>
      <c r="O127" s="20"/>
      <c r="P127" s="20"/>
      <c r="Q127" s="19"/>
    </row>
    <row r="128" spans="1:17" ht="12.75">
      <c r="A128" s="19"/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20"/>
      <c r="O128" s="20"/>
      <c r="P128" s="20"/>
      <c r="Q128" s="19"/>
    </row>
    <row r="129" spans="1:17" ht="12.75">
      <c r="A129" s="19"/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20"/>
      <c r="O129" s="20"/>
      <c r="P129" s="20"/>
      <c r="Q129" s="19"/>
    </row>
    <row r="130" spans="1:17" ht="12.75">
      <c r="A130" s="19"/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20"/>
      <c r="O130" s="20"/>
      <c r="P130" s="20"/>
      <c r="Q130" s="19"/>
    </row>
    <row r="131" spans="1:17" ht="12.75">
      <c r="A131" s="19"/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20"/>
      <c r="O131" s="20"/>
      <c r="P131" s="20"/>
      <c r="Q131" s="19"/>
    </row>
    <row r="132" spans="1:17" ht="12.75">
      <c r="A132" s="19"/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20"/>
      <c r="O132" s="20"/>
      <c r="P132" s="20"/>
      <c r="Q132" s="19"/>
    </row>
    <row r="133" spans="1:17" ht="12.75">
      <c r="A133" s="19"/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20"/>
      <c r="O133" s="20"/>
      <c r="P133" s="20"/>
      <c r="Q133" s="19"/>
    </row>
    <row r="134" spans="1:17" ht="12.75">
      <c r="A134" s="19"/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20"/>
      <c r="O134" s="20"/>
      <c r="P134" s="20"/>
      <c r="Q134" s="19"/>
    </row>
    <row r="135" spans="1:17" ht="12.75">
      <c r="A135" s="19"/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20"/>
      <c r="O135" s="20"/>
      <c r="P135" s="20"/>
      <c r="Q135" s="19"/>
    </row>
    <row r="136" spans="1:17" ht="12.75">
      <c r="A136" s="19"/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20"/>
      <c r="O136" s="20"/>
      <c r="P136" s="20"/>
      <c r="Q136" s="19"/>
    </row>
    <row r="137" spans="1:17" ht="12.75">
      <c r="A137" s="19"/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20"/>
      <c r="O137" s="20"/>
      <c r="P137" s="20"/>
      <c r="Q137" s="19"/>
    </row>
    <row r="138" spans="1:17" ht="12.75">
      <c r="A138" s="19"/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20"/>
      <c r="O138" s="20"/>
      <c r="P138" s="20"/>
      <c r="Q138" s="19"/>
    </row>
    <row r="139" spans="1:17" ht="12.75">
      <c r="A139" s="19"/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20"/>
      <c r="O139" s="20"/>
      <c r="P139" s="20"/>
      <c r="Q139" s="19"/>
    </row>
    <row r="140" spans="1:17" ht="12.75">
      <c r="A140" s="19"/>
      <c r="B140" s="19"/>
      <c r="C140" s="19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20"/>
      <c r="O140" s="20"/>
      <c r="P140" s="20"/>
      <c r="Q140" s="19"/>
    </row>
    <row r="141" spans="1:17" ht="12.75">
      <c r="A141" s="19"/>
      <c r="B141" s="19"/>
      <c r="C141" s="19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20"/>
      <c r="O141" s="20"/>
      <c r="P141" s="20"/>
      <c r="Q141" s="19"/>
    </row>
    <row r="142" spans="1:17" ht="12.75">
      <c r="A142" s="19"/>
      <c r="B142" s="19"/>
      <c r="C142" s="19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20"/>
      <c r="O142" s="20"/>
      <c r="P142" s="20"/>
      <c r="Q142" s="19"/>
    </row>
    <row r="143" spans="1:17" ht="12.75">
      <c r="A143" s="19"/>
      <c r="B143" s="19"/>
      <c r="C143" s="19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20"/>
      <c r="O143" s="20"/>
      <c r="P143" s="20"/>
      <c r="Q143" s="19"/>
    </row>
    <row r="144" spans="1:17" ht="12.75">
      <c r="A144" s="19"/>
      <c r="B144" s="19"/>
      <c r="C144" s="19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20"/>
      <c r="O144" s="20"/>
      <c r="P144" s="20"/>
      <c r="Q144" s="19"/>
    </row>
    <row r="145" spans="1:17" ht="12.75">
      <c r="A145" s="19"/>
      <c r="B145" s="19"/>
      <c r="C145" s="19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20"/>
      <c r="O145" s="20"/>
      <c r="P145" s="20"/>
      <c r="Q145" s="19"/>
    </row>
    <row r="146" spans="1:17" ht="12.75">
      <c r="A146" s="19"/>
      <c r="B146" s="19"/>
      <c r="C146" s="19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20"/>
      <c r="O146" s="20"/>
      <c r="P146" s="20"/>
      <c r="Q146" s="19"/>
    </row>
    <row r="147" spans="1:17" ht="12.75">
      <c r="A147" s="19"/>
      <c r="B147" s="19"/>
      <c r="C147" s="19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20"/>
      <c r="O147" s="20"/>
      <c r="P147" s="20"/>
      <c r="Q147" s="19"/>
    </row>
    <row r="148" spans="1:17" ht="12.75">
      <c r="A148" s="19"/>
      <c r="B148" s="19"/>
      <c r="C148" s="19"/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20"/>
      <c r="O148" s="20"/>
      <c r="P148" s="20"/>
      <c r="Q148" s="19"/>
    </row>
    <row r="149" spans="1:17" ht="12.75">
      <c r="A149" s="19"/>
      <c r="B149" s="19"/>
      <c r="C149" s="19"/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20"/>
      <c r="O149" s="20"/>
      <c r="P149" s="20"/>
      <c r="Q149" s="19"/>
    </row>
    <row r="150" spans="1:17" ht="12.75">
      <c r="A150" s="19"/>
      <c r="B150" s="19"/>
      <c r="C150" s="19"/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20"/>
      <c r="O150" s="20"/>
      <c r="P150" s="20"/>
      <c r="Q150" s="19"/>
    </row>
    <row r="151" spans="1:17" ht="12.75">
      <c r="A151" s="19"/>
      <c r="B151" s="19"/>
      <c r="C151" s="19"/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20"/>
      <c r="O151" s="20"/>
      <c r="P151" s="20"/>
      <c r="Q151" s="19"/>
    </row>
    <row r="152" spans="1:17" ht="12.75">
      <c r="A152" s="19"/>
      <c r="B152" s="19"/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20"/>
      <c r="O152" s="20"/>
      <c r="P152" s="20"/>
      <c r="Q152" s="19"/>
    </row>
    <row r="153" spans="1:17" ht="12.75">
      <c r="A153" s="19"/>
      <c r="B153" s="19"/>
      <c r="C153" s="19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20"/>
      <c r="O153" s="20"/>
      <c r="P153" s="20"/>
      <c r="Q153" s="19"/>
    </row>
    <row r="154" spans="1:17" ht="12.75">
      <c r="A154" s="19"/>
      <c r="B154" s="19"/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20"/>
      <c r="O154" s="20"/>
      <c r="P154" s="20"/>
      <c r="Q154" s="19"/>
    </row>
    <row r="155" spans="1:17" ht="12.75">
      <c r="A155" s="19"/>
      <c r="B155" s="19"/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20"/>
      <c r="O155" s="20"/>
      <c r="P155" s="20"/>
      <c r="Q155" s="19"/>
    </row>
    <row r="156" spans="1:17" ht="12.75">
      <c r="A156" s="19"/>
      <c r="B156" s="19"/>
      <c r="C156" s="19"/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20"/>
      <c r="O156" s="20"/>
      <c r="P156" s="20"/>
      <c r="Q156" s="19"/>
    </row>
    <row r="157" spans="1:17" ht="12.75">
      <c r="A157" s="19"/>
      <c r="B157" s="19"/>
      <c r="C157" s="19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20"/>
      <c r="O157" s="20"/>
      <c r="P157" s="20"/>
      <c r="Q157" s="19"/>
    </row>
    <row r="158" spans="1:17" ht="12.75">
      <c r="A158" s="19"/>
      <c r="B158" s="19"/>
      <c r="C158" s="19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20"/>
      <c r="O158" s="20"/>
      <c r="P158" s="20"/>
      <c r="Q158" s="19"/>
    </row>
    <row r="159" spans="1:17" ht="12.75">
      <c r="A159" s="19"/>
      <c r="B159" s="19"/>
      <c r="C159" s="19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20"/>
      <c r="O159" s="20"/>
      <c r="P159" s="20"/>
      <c r="Q159" s="19"/>
    </row>
    <row r="160" spans="1:17" ht="12.75">
      <c r="A160" s="19"/>
      <c r="B160" s="19"/>
      <c r="C160" s="19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20"/>
      <c r="O160" s="20"/>
      <c r="P160" s="20"/>
      <c r="Q160" s="19"/>
    </row>
    <row r="161" spans="1:17" ht="12.75">
      <c r="A161" s="19"/>
      <c r="B161" s="19"/>
      <c r="C161" s="19"/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20"/>
      <c r="O161" s="20"/>
      <c r="P161" s="20"/>
      <c r="Q161" s="19"/>
    </row>
    <row r="162" spans="1:17" ht="12.75">
      <c r="A162" s="19"/>
      <c r="B162" s="19"/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20"/>
      <c r="O162" s="20"/>
      <c r="P162" s="20"/>
      <c r="Q162" s="19"/>
    </row>
    <row r="163" spans="1:17" ht="12.75">
      <c r="A163" s="19"/>
      <c r="B163" s="19"/>
      <c r="C163" s="19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20"/>
      <c r="O163" s="20"/>
      <c r="P163" s="20"/>
      <c r="Q163" s="19"/>
    </row>
    <row r="164" spans="1:17" ht="12.75">
      <c r="A164" s="19"/>
      <c r="B164" s="19"/>
      <c r="C164" s="19"/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20"/>
      <c r="O164" s="20"/>
      <c r="P164" s="20"/>
      <c r="Q164" s="19"/>
    </row>
    <row r="165" spans="1:17" ht="12.75">
      <c r="A165" s="19"/>
      <c r="B165" s="19"/>
      <c r="C165" s="19"/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20"/>
      <c r="O165" s="20"/>
      <c r="P165" s="20"/>
      <c r="Q165" s="19"/>
    </row>
    <row r="166" spans="1:17" ht="12.75">
      <c r="A166" s="19"/>
      <c r="B166" s="19"/>
      <c r="C166" s="19"/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20"/>
      <c r="O166" s="20"/>
      <c r="P166" s="20"/>
      <c r="Q166" s="19"/>
    </row>
    <row r="167" spans="1:17" ht="12.75">
      <c r="A167" s="19"/>
      <c r="B167" s="19"/>
      <c r="C167" s="19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20"/>
      <c r="O167" s="20"/>
      <c r="P167" s="20"/>
      <c r="Q167" s="19"/>
    </row>
    <row r="168" spans="1:17" ht="12.75">
      <c r="A168" s="19"/>
      <c r="B168" s="19"/>
      <c r="C168" s="19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20"/>
      <c r="O168" s="20"/>
      <c r="P168" s="20"/>
      <c r="Q168" s="19"/>
    </row>
    <row r="169" spans="1:17" ht="12.75">
      <c r="A169" s="19"/>
      <c r="B169" s="19"/>
      <c r="C169" s="19"/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20"/>
      <c r="O169" s="20"/>
      <c r="P169" s="20"/>
      <c r="Q169" s="19"/>
    </row>
    <row r="170" spans="1:17" ht="12.75">
      <c r="A170" s="19"/>
      <c r="B170" s="19"/>
      <c r="C170" s="19"/>
      <c r="D170" s="19"/>
      <c r="E170" s="19"/>
      <c r="F170" s="19"/>
      <c r="G170" s="19"/>
      <c r="H170" s="19"/>
      <c r="I170" s="19"/>
      <c r="J170" s="19"/>
      <c r="K170" s="19"/>
      <c r="L170" s="19"/>
      <c r="M170" s="19"/>
      <c r="N170" s="20"/>
      <c r="O170" s="20"/>
      <c r="P170" s="20"/>
      <c r="Q170" s="19"/>
    </row>
    <row r="171" spans="1:17" ht="12.75">
      <c r="A171" s="19"/>
      <c r="B171" s="19"/>
      <c r="C171" s="19"/>
      <c r="D171" s="19"/>
      <c r="E171" s="19"/>
      <c r="F171" s="19"/>
      <c r="G171" s="19"/>
      <c r="H171" s="19"/>
      <c r="I171" s="19"/>
      <c r="J171" s="19"/>
      <c r="K171" s="19"/>
      <c r="L171" s="19"/>
      <c r="M171" s="19"/>
      <c r="N171" s="20"/>
      <c r="O171" s="20"/>
      <c r="P171" s="20"/>
      <c r="Q171" s="19"/>
    </row>
    <row r="172" spans="1:17" ht="12.75">
      <c r="A172" s="19"/>
      <c r="B172" s="19"/>
      <c r="C172" s="19"/>
      <c r="D172" s="19"/>
      <c r="E172" s="19"/>
      <c r="F172" s="19"/>
      <c r="G172" s="19"/>
      <c r="H172" s="19"/>
      <c r="I172" s="19"/>
      <c r="J172" s="19"/>
      <c r="K172" s="19"/>
      <c r="L172" s="19"/>
      <c r="M172" s="19"/>
      <c r="N172" s="20"/>
      <c r="O172" s="20"/>
      <c r="P172" s="20"/>
      <c r="Q172" s="19"/>
    </row>
    <row r="173" spans="1:17" ht="12.75">
      <c r="A173" s="19"/>
      <c r="B173" s="19"/>
      <c r="C173" s="19"/>
      <c r="D173" s="19"/>
      <c r="E173" s="19"/>
      <c r="F173" s="19"/>
      <c r="G173" s="19"/>
      <c r="H173" s="19"/>
      <c r="I173" s="19"/>
      <c r="J173" s="19"/>
      <c r="K173" s="19"/>
      <c r="L173" s="19"/>
      <c r="M173" s="19"/>
      <c r="N173" s="20"/>
      <c r="O173" s="20"/>
      <c r="P173" s="20"/>
      <c r="Q173" s="19"/>
    </row>
    <row r="174" spans="1:17" ht="12.75">
      <c r="A174" s="19"/>
      <c r="B174" s="19"/>
      <c r="C174" s="19"/>
      <c r="D174" s="19"/>
      <c r="E174" s="19"/>
      <c r="F174" s="19"/>
      <c r="G174" s="19"/>
      <c r="H174" s="19"/>
      <c r="I174" s="19"/>
      <c r="J174" s="19"/>
      <c r="K174" s="19"/>
      <c r="L174" s="19"/>
      <c r="M174" s="19"/>
      <c r="N174" s="20"/>
      <c r="O174" s="20"/>
      <c r="P174" s="20"/>
      <c r="Q174" s="19"/>
    </row>
    <row r="175" spans="1:17" ht="12.75">
      <c r="A175" s="19"/>
      <c r="B175" s="19"/>
      <c r="C175" s="19"/>
      <c r="D175" s="19"/>
      <c r="E175" s="19"/>
      <c r="F175" s="19"/>
      <c r="G175" s="19"/>
      <c r="H175" s="19"/>
      <c r="I175" s="19"/>
      <c r="J175" s="19"/>
      <c r="K175" s="19"/>
      <c r="L175" s="19"/>
      <c r="M175" s="19"/>
      <c r="N175" s="20"/>
      <c r="O175" s="20"/>
      <c r="P175" s="20"/>
      <c r="Q175" s="19"/>
    </row>
    <row r="176" spans="1:17" ht="12.75">
      <c r="A176" s="19"/>
      <c r="B176" s="19"/>
      <c r="C176" s="19"/>
      <c r="D176" s="19"/>
      <c r="E176" s="19"/>
      <c r="F176" s="19"/>
      <c r="G176" s="19"/>
      <c r="H176" s="19"/>
      <c r="I176" s="19"/>
      <c r="J176" s="19"/>
      <c r="K176" s="19"/>
      <c r="L176" s="19"/>
      <c r="M176" s="19"/>
      <c r="N176" s="20"/>
      <c r="O176" s="20"/>
      <c r="P176" s="20"/>
      <c r="Q176" s="19"/>
    </row>
    <row r="177" spans="1:17" ht="12.75">
      <c r="A177" s="19"/>
      <c r="B177" s="19"/>
      <c r="C177" s="19"/>
      <c r="D177" s="19"/>
      <c r="E177" s="19"/>
      <c r="F177" s="19"/>
      <c r="G177" s="19"/>
      <c r="H177" s="19"/>
      <c r="I177" s="19"/>
      <c r="J177" s="19"/>
      <c r="K177" s="19"/>
      <c r="L177" s="19"/>
      <c r="M177" s="19"/>
      <c r="N177" s="20"/>
      <c r="O177" s="20"/>
      <c r="P177" s="20"/>
      <c r="Q177" s="19"/>
    </row>
    <row r="178" spans="1:17" ht="12.75">
      <c r="A178" s="19"/>
      <c r="B178" s="19"/>
      <c r="C178" s="19"/>
      <c r="D178" s="19"/>
      <c r="E178" s="19"/>
      <c r="F178" s="19"/>
      <c r="G178" s="19"/>
      <c r="H178" s="19"/>
      <c r="I178" s="19"/>
      <c r="J178" s="19"/>
      <c r="K178" s="19"/>
      <c r="L178" s="19"/>
      <c r="M178" s="19"/>
      <c r="N178" s="20"/>
      <c r="O178" s="20"/>
      <c r="P178" s="20"/>
      <c r="Q178" s="19"/>
    </row>
    <row r="179" spans="1:17" ht="12.75">
      <c r="A179" s="19"/>
      <c r="B179" s="19"/>
      <c r="C179" s="19"/>
      <c r="D179" s="19"/>
      <c r="E179" s="19"/>
      <c r="F179" s="19"/>
      <c r="G179" s="19"/>
      <c r="H179" s="19"/>
      <c r="I179" s="19"/>
      <c r="J179" s="19"/>
      <c r="K179" s="19"/>
      <c r="L179" s="19"/>
      <c r="M179" s="19"/>
      <c r="N179" s="20"/>
      <c r="O179" s="20"/>
      <c r="P179" s="20"/>
      <c r="Q179" s="19"/>
    </row>
    <row r="180" spans="1:17" ht="12.75">
      <c r="A180" s="19"/>
      <c r="B180" s="19"/>
      <c r="C180" s="19"/>
      <c r="D180" s="19"/>
      <c r="E180" s="19"/>
      <c r="F180" s="19"/>
      <c r="G180" s="19"/>
      <c r="H180" s="19"/>
      <c r="I180" s="19"/>
      <c r="J180" s="19"/>
      <c r="K180" s="19"/>
      <c r="L180" s="19"/>
      <c r="M180" s="19"/>
      <c r="N180" s="20"/>
      <c r="O180" s="20"/>
      <c r="P180" s="20"/>
      <c r="Q180" s="19"/>
    </row>
    <row r="181" spans="1:17" ht="12.75">
      <c r="A181" s="19"/>
      <c r="B181" s="19"/>
      <c r="C181" s="19"/>
      <c r="D181" s="19"/>
      <c r="E181" s="19"/>
      <c r="F181" s="19"/>
      <c r="G181" s="19"/>
      <c r="H181" s="19"/>
      <c r="I181" s="19"/>
      <c r="J181" s="19"/>
      <c r="K181" s="19"/>
      <c r="L181" s="19"/>
      <c r="M181" s="19"/>
      <c r="N181" s="20"/>
      <c r="O181" s="20"/>
      <c r="P181" s="20"/>
      <c r="Q181" s="19"/>
    </row>
    <row r="182" spans="1:17" ht="12.75">
      <c r="A182" s="19"/>
      <c r="B182" s="19"/>
      <c r="C182" s="19"/>
      <c r="D182" s="19"/>
      <c r="E182" s="19"/>
      <c r="F182" s="19"/>
      <c r="G182" s="19"/>
      <c r="H182" s="19"/>
      <c r="I182" s="19"/>
      <c r="J182" s="19"/>
      <c r="K182" s="19"/>
      <c r="L182" s="19"/>
      <c r="M182" s="19"/>
      <c r="N182" s="20"/>
      <c r="O182" s="20"/>
      <c r="P182" s="20"/>
      <c r="Q182" s="19"/>
    </row>
    <row r="183" spans="1:17" ht="12.75">
      <c r="A183" s="19"/>
      <c r="B183" s="19"/>
      <c r="C183" s="19"/>
      <c r="D183" s="19"/>
      <c r="E183" s="19"/>
      <c r="F183" s="19"/>
      <c r="G183" s="19"/>
      <c r="H183" s="19"/>
      <c r="I183" s="19"/>
      <c r="J183" s="19"/>
      <c r="K183" s="19"/>
      <c r="L183" s="19"/>
      <c r="M183" s="19"/>
      <c r="N183" s="20"/>
      <c r="O183" s="20"/>
      <c r="P183" s="20"/>
      <c r="Q183" s="19"/>
    </row>
    <row r="184" spans="1:17" ht="12.75">
      <c r="A184" s="19"/>
      <c r="B184" s="19"/>
      <c r="C184" s="19"/>
      <c r="D184" s="19"/>
      <c r="E184" s="19"/>
      <c r="F184" s="19"/>
      <c r="G184" s="19"/>
      <c r="H184" s="19"/>
      <c r="I184" s="19"/>
      <c r="J184" s="19"/>
      <c r="K184" s="19"/>
      <c r="L184" s="19"/>
      <c r="M184" s="19"/>
      <c r="N184" s="20"/>
      <c r="O184" s="20"/>
      <c r="P184" s="20"/>
      <c r="Q184" s="19"/>
    </row>
    <row r="185" spans="1:17" ht="12.75">
      <c r="A185" s="19"/>
      <c r="B185" s="19"/>
      <c r="C185" s="19"/>
      <c r="D185" s="19"/>
      <c r="E185" s="19"/>
      <c r="F185" s="19"/>
      <c r="G185" s="19"/>
      <c r="H185" s="19"/>
      <c r="I185" s="19"/>
      <c r="J185" s="19"/>
      <c r="K185" s="19"/>
      <c r="L185" s="19"/>
      <c r="M185" s="19"/>
      <c r="N185" s="20"/>
      <c r="O185" s="20"/>
      <c r="P185" s="20"/>
      <c r="Q185" s="19"/>
    </row>
    <row r="186" spans="1:17" ht="12.75">
      <c r="A186" s="19"/>
      <c r="B186" s="19"/>
      <c r="C186" s="19"/>
      <c r="D186" s="19"/>
      <c r="E186" s="19"/>
      <c r="F186" s="19"/>
      <c r="G186" s="19"/>
      <c r="H186" s="19"/>
      <c r="I186" s="19"/>
      <c r="J186" s="19"/>
      <c r="K186" s="19"/>
      <c r="L186" s="19"/>
      <c r="M186" s="19"/>
      <c r="N186" s="20"/>
      <c r="O186" s="20"/>
      <c r="P186" s="20"/>
      <c r="Q186" s="19"/>
    </row>
    <row r="187" spans="1:17" ht="12.75">
      <c r="A187" s="19"/>
      <c r="B187" s="19"/>
      <c r="C187" s="19"/>
      <c r="D187" s="19"/>
      <c r="E187" s="19"/>
      <c r="F187" s="19"/>
      <c r="G187" s="19"/>
      <c r="H187" s="19"/>
      <c r="I187" s="19"/>
      <c r="J187" s="19"/>
      <c r="K187" s="19"/>
      <c r="L187" s="19"/>
      <c r="M187" s="19"/>
      <c r="N187" s="20"/>
      <c r="O187" s="20"/>
      <c r="P187" s="20"/>
      <c r="Q187" s="19"/>
    </row>
    <row r="188" spans="1:17" ht="12.75">
      <c r="A188" s="19"/>
      <c r="B188" s="19"/>
      <c r="C188" s="19"/>
      <c r="D188" s="19"/>
      <c r="E188" s="19"/>
      <c r="F188" s="19"/>
      <c r="G188" s="19"/>
      <c r="H188" s="19"/>
      <c r="I188" s="19"/>
      <c r="J188" s="19"/>
      <c r="K188" s="19"/>
      <c r="L188" s="19"/>
      <c r="M188" s="19"/>
      <c r="N188" s="20"/>
      <c r="O188" s="20"/>
      <c r="P188" s="20"/>
      <c r="Q188" s="19"/>
    </row>
    <row r="189" spans="1:17" ht="12.75">
      <c r="A189" s="19"/>
      <c r="B189" s="19"/>
      <c r="C189" s="19"/>
      <c r="D189" s="19"/>
      <c r="E189" s="19"/>
      <c r="F189" s="19"/>
      <c r="G189" s="19"/>
      <c r="H189" s="19"/>
      <c r="I189" s="19"/>
      <c r="J189" s="19"/>
      <c r="K189" s="19"/>
      <c r="L189" s="19"/>
      <c r="M189" s="19"/>
      <c r="N189" s="20"/>
      <c r="O189" s="20"/>
      <c r="P189" s="20"/>
      <c r="Q189" s="19"/>
    </row>
    <row r="190" spans="1:17" ht="13.5" hidden="1" thickTop="1">
      <c r="A190" s="19"/>
      <c r="B190" s="19"/>
      <c r="C190" s="19"/>
      <c r="D190" s="19"/>
      <c r="E190" s="19"/>
      <c r="F190" s="19"/>
      <c r="G190" s="19"/>
      <c r="H190" s="19"/>
      <c r="I190" s="19"/>
      <c r="J190" s="19"/>
      <c r="K190" s="19"/>
      <c r="L190" s="19"/>
      <c r="M190" s="42" t="s">
        <v>76</v>
      </c>
      <c r="N190" s="43"/>
      <c r="O190" s="43"/>
      <c r="P190" s="43"/>
      <c r="Q190" s="44"/>
    </row>
    <row r="191" spans="1:17" ht="12.75" hidden="1">
      <c r="A191" s="19"/>
      <c r="B191" s="19"/>
      <c r="C191" s="19"/>
      <c r="D191" s="19"/>
      <c r="E191" s="19"/>
      <c r="F191" s="19"/>
      <c r="G191" s="19"/>
      <c r="H191" s="19"/>
      <c r="I191" s="19"/>
      <c r="J191" s="19"/>
      <c r="K191" s="19"/>
      <c r="L191" s="19"/>
      <c r="M191" s="45"/>
      <c r="N191" s="46"/>
      <c r="O191" s="46"/>
      <c r="P191" s="46"/>
      <c r="Q191" s="47"/>
    </row>
    <row r="192" spans="1:17" ht="12.75" hidden="1">
      <c r="A192" s="19"/>
      <c r="B192" s="19"/>
      <c r="C192" s="19"/>
      <c r="D192" s="19"/>
      <c r="E192" s="19"/>
      <c r="F192" s="19"/>
      <c r="G192" s="19"/>
      <c r="H192" s="19"/>
      <c r="I192" s="19"/>
      <c r="J192" s="19"/>
      <c r="K192" s="19"/>
      <c r="L192" s="19"/>
      <c r="M192" s="45">
        <v>1</v>
      </c>
      <c r="N192" s="46" t="s">
        <v>77</v>
      </c>
      <c r="O192" s="46">
        <f>IF(ISNA(MATCH(PROPER(LEFT(E8,3)),Q192:Q203,0)),1,MATCH(PROPER(LEFT(E8,3)),Q192:Q203,0))</f>
        <v>1</v>
      </c>
      <c r="P192" s="46"/>
      <c r="Q192" s="47" t="s">
        <v>77</v>
      </c>
    </row>
    <row r="193" spans="1:17" ht="12.75" hidden="1">
      <c r="A193" s="19"/>
      <c r="B193" s="19"/>
      <c r="C193" s="19"/>
      <c r="D193" s="19"/>
      <c r="E193" s="19"/>
      <c r="F193" s="19"/>
      <c r="G193" s="19"/>
      <c r="H193" s="19"/>
      <c r="I193" s="19"/>
      <c r="J193" s="19"/>
      <c r="K193" s="19"/>
      <c r="L193" s="19"/>
      <c r="M193" s="45">
        <v>2</v>
      </c>
      <c r="N193" s="46" t="s">
        <v>78</v>
      </c>
      <c r="O193" s="46">
        <f aca="true" t="shared" si="11" ref="O193:O203">IF(O192=12,1,O192+1)</f>
        <v>2</v>
      </c>
      <c r="P193" s="46"/>
      <c r="Q193" s="47" t="s">
        <v>78</v>
      </c>
    </row>
    <row r="194" spans="1:17" ht="12.75" hidden="1">
      <c r="A194" s="19"/>
      <c r="B194" s="19"/>
      <c r="C194" s="19"/>
      <c r="D194" s="19"/>
      <c r="E194" s="19"/>
      <c r="F194" s="19"/>
      <c r="G194" s="19"/>
      <c r="H194" s="19"/>
      <c r="I194" s="19"/>
      <c r="J194" s="19"/>
      <c r="K194" s="19"/>
      <c r="L194" s="19"/>
      <c r="M194" s="45">
        <v>3</v>
      </c>
      <c r="N194" s="46" t="s">
        <v>79</v>
      </c>
      <c r="O194" s="46">
        <f t="shared" si="11"/>
        <v>3</v>
      </c>
      <c r="P194" s="46"/>
      <c r="Q194" s="47" t="s">
        <v>79</v>
      </c>
    </row>
    <row r="195" spans="1:17" ht="12.75" hidden="1">
      <c r="A195" s="19"/>
      <c r="B195" s="19"/>
      <c r="C195" s="19"/>
      <c r="D195" s="19"/>
      <c r="E195" s="19"/>
      <c r="F195" s="19"/>
      <c r="G195" s="19"/>
      <c r="H195" s="19"/>
      <c r="I195" s="19"/>
      <c r="J195" s="19"/>
      <c r="K195" s="19"/>
      <c r="L195" s="19"/>
      <c r="M195" s="45">
        <v>4</v>
      </c>
      <c r="N195" s="46" t="s">
        <v>80</v>
      </c>
      <c r="O195" s="46">
        <f t="shared" si="11"/>
        <v>4</v>
      </c>
      <c r="P195" s="46"/>
      <c r="Q195" s="47" t="s">
        <v>80</v>
      </c>
    </row>
    <row r="196" spans="1:17" ht="12.75" hidden="1">
      <c r="A196" s="19"/>
      <c r="B196" s="19"/>
      <c r="C196" s="19"/>
      <c r="D196" s="19"/>
      <c r="E196" s="19"/>
      <c r="F196" s="19"/>
      <c r="G196" s="19"/>
      <c r="H196" s="19"/>
      <c r="I196" s="19"/>
      <c r="J196" s="19"/>
      <c r="K196" s="19"/>
      <c r="L196" s="19"/>
      <c r="M196" s="45">
        <v>5</v>
      </c>
      <c r="N196" s="46" t="s">
        <v>81</v>
      </c>
      <c r="O196" s="46">
        <f t="shared" si="11"/>
        <v>5</v>
      </c>
      <c r="P196" s="46"/>
      <c r="Q196" s="47" t="s">
        <v>81</v>
      </c>
    </row>
    <row r="197" spans="1:17" ht="12.75" hidden="1">
      <c r="A197" s="19"/>
      <c r="B197" s="19"/>
      <c r="C197" s="19"/>
      <c r="D197" s="19"/>
      <c r="E197" s="19"/>
      <c r="F197" s="19"/>
      <c r="G197" s="19"/>
      <c r="H197" s="19"/>
      <c r="I197" s="19"/>
      <c r="J197" s="19"/>
      <c r="K197" s="19"/>
      <c r="L197" s="19"/>
      <c r="M197" s="45">
        <v>6</v>
      </c>
      <c r="N197" s="46" t="s">
        <v>82</v>
      </c>
      <c r="O197" s="46">
        <f t="shared" si="11"/>
        <v>6</v>
      </c>
      <c r="P197" s="46"/>
      <c r="Q197" s="47" t="s">
        <v>82</v>
      </c>
    </row>
    <row r="198" spans="1:17" ht="12.75" hidden="1">
      <c r="A198" s="19"/>
      <c r="B198" s="19"/>
      <c r="C198" s="19"/>
      <c r="D198" s="19"/>
      <c r="E198" s="19"/>
      <c r="F198" s="19"/>
      <c r="G198" s="19"/>
      <c r="H198" s="19"/>
      <c r="I198" s="19"/>
      <c r="J198" s="19"/>
      <c r="K198" s="19"/>
      <c r="L198" s="19"/>
      <c r="M198" s="45">
        <v>7</v>
      </c>
      <c r="N198" s="46" t="s">
        <v>83</v>
      </c>
      <c r="O198" s="46">
        <f t="shared" si="11"/>
        <v>7</v>
      </c>
      <c r="P198" s="46"/>
      <c r="Q198" s="47" t="s">
        <v>83</v>
      </c>
    </row>
    <row r="199" spans="1:17" ht="12.75" hidden="1">
      <c r="A199" s="19"/>
      <c r="B199" s="19"/>
      <c r="C199" s="19"/>
      <c r="D199" s="19"/>
      <c r="E199" s="19"/>
      <c r="F199" s="19"/>
      <c r="G199" s="19"/>
      <c r="H199" s="19"/>
      <c r="I199" s="19"/>
      <c r="J199" s="19"/>
      <c r="K199" s="19"/>
      <c r="L199" s="19"/>
      <c r="M199" s="45">
        <v>8</v>
      </c>
      <c r="N199" s="46" t="s">
        <v>84</v>
      </c>
      <c r="O199" s="46">
        <f t="shared" si="11"/>
        <v>8</v>
      </c>
      <c r="P199" s="46"/>
      <c r="Q199" s="47" t="s">
        <v>84</v>
      </c>
    </row>
    <row r="200" spans="1:17" ht="12.75" hidden="1">
      <c r="A200" s="19"/>
      <c r="B200" s="19"/>
      <c r="C200" s="19"/>
      <c r="D200" s="19"/>
      <c r="E200" s="19"/>
      <c r="F200" s="19"/>
      <c r="G200" s="19"/>
      <c r="H200" s="19"/>
      <c r="I200" s="19"/>
      <c r="J200" s="19"/>
      <c r="K200" s="19"/>
      <c r="L200" s="19"/>
      <c r="M200" s="45">
        <v>9</v>
      </c>
      <c r="N200" s="46" t="s">
        <v>85</v>
      </c>
      <c r="O200" s="46">
        <f t="shared" si="11"/>
        <v>9</v>
      </c>
      <c r="P200" s="46"/>
      <c r="Q200" s="47" t="s">
        <v>85</v>
      </c>
    </row>
    <row r="201" spans="1:17" ht="12.75" hidden="1">
      <c r="A201" s="19"/>
      <c r="B201" s="19"/>
      <c r="C201" s="19"/>
      <c r="D201" s="19"/>
      <c r="E201" s="19"/>
      <c r="F201" s="19"/>
      <c r="G201" s="19"/>
      <c r="H201" s="19"/>
      <c r="I201" s="19"/>
      <c r="J201" s="19"/>
      <c r="K201" s="19"/>
      <c r="L201" s="19"/>
      <c r="M201" s="45">
        <v>10</v>
      </c>
      <c r="N201" s="46" t="s">
        <v>86</v>
      </c>
      <c r="O201" s="46">
        <f t="shared" si="11"/>
        <v>10</v>
      </c>
      <c r="P201" s="46"/>
      <c r="Q201" s="47" t="s">
        <v>86</v>
      </c>
    </row>
    <row r="202" spans="1:17" ht="12.75" hidden="1">
      <c r="A202" s="19"/>
      <c r="B202" s="19"/>
      <c r="C202" s="19"/>
      <c r="D202" s="19"/>
      <c r="E202" s="19"/>
      <c r="F202" s="19"/>
      <c r="G202" s="19"/>
      <c r="H202" s="19"/>
      <c r="I202" s="19"/>
      <c r="J202" s="19"/>
      <c r="K202" s="19"/>
      <c r="L202" s="19"/>
      <c r="M202" s="45">
        <v>11</v>
      </c>
      <c r="N202" s="46" t="s">
        <v>87</v>
      </c>
      <c r="O202" s="46">
        <f t="shared" si="11"/>
        <v>11</v>
      </c>
      <c r="P202" s="46"/>
      <c r="Q202" s="47" t="s">
        <v>87</v>
      </c>
    </row>
    <row r="203" spans="1:17" ht="12.75" hidden="1">
      <c r="A203" s="19"/>
      <c r="B203" s="19"/>
      <c r="C203" s="19"/>
      <c r="D203" s="19"/>
      <c r="E203" s="19"/>
      <c r="F203" s="19"/>
      <c r="G203" s="19"/>
      <c r="H203" s="19"/>
      <c r="I203" s="19"/>
      <c r="J203" s="19"/>
      <c r="K203" s="19"/>
      <c r="L203" s="19"/>
      <c r="M203" s="45">
        <v>12</v>
      </c>
      <c r="N203" s="46" t="s">
        <v>88</v>
      </c>
      <c r="O203" s="46">
        <f t="shared" si="11"/>
        <v>12</v>
      </c>
      <c r="P203" s="46"/>
      <c r="Q203" s="47" t="s">
        <v>88</v>
      </c>
    </row>
    <row r="204" spans="1:17" ht="12.75" hidden="1">
      <c r="A204" s="19"/>
      <c r="B204" s="19"/>
      <c r="C204" s="19"/>
      <c r="D204" s="19"/>
      <c r="E204" s="19"/>
      <c r="F204" s="19"/>
      <c r="G204" s="19"/>
      <c r="H204" s="19"/>
      <c r="I204" s="19"/>
      <c r="J204" s="19"/>
      <c r="K204" s="19"/>
      <c r="L204" s="19"/>
      <c r="M204" s="45"/>
      <c r="N204" s="46"/>
      <c r="O204" s="46"/>
      <c r="P204" s="46"/>
      <c r="Q204" s="47"/>
    </row>
    <row r="205" spans="1:17" ht="12.75" hidden="1">
      <c r="A205" s="19"/>
      <c r="B205" s="19"/>
      <c r="C205" s="19"/>
      <c r="D205" s="19"/>
      <c r="E205" s="19"/>
      <c r="F205" s="19"/>
      <c r="G205" s="19"/>
      <c r="H205" s="19"/>
      <c r="I205" s="19"/>
      <c r="J205" s="19"/>
      <c r="K205" s="19"/>
      <c r="L205" s="19"/>
      <c r="M205" s="48">
        <f>IF(C12="Jan",24,MATCH("Jan",C12:C23,0)+11)</f>
        <v>24</v>
      </c>
      <c r="N205" s="46">
        <f>Q208-M205</f>
        <v>336</v>
      </c>
      <c r="O205" s="46"/>
      <c r="P205" s="46"/>
      <c r="Q205" s="47"/>
    </row>
    <row r="206" spans="1:17" ht="12.75" hidden="1">
      <c r="A206" s="19"/>
      <c r="B206" s="19"/>
      <c r="C206" s="19"/>
      <c r="D206" s="19"/>
      <c r="E206" s="19"/>
      <c r="F206" s="19"/>
      <c r="G206" s="19"/>
      <c r="H206" s="19"/>
      <c r="I206" s="19"/>
      <c r="J206" s="19"/>
      <c r="K206" s="19"/>
      <c r="L206" s="19"/>
      <c r="M206" s="45">
        <f>MIN(Q$208,M205+12)</f>
        <v>36</v>
      </c>
      <c r="N206" s="46">
        <f>Q208-M206</f>
        <v>324</v>
      </c>
      <c r="O206" s="46"/>
      <c r="P206" s="46"/>
      <c r="Q206" s="47"/>
    </row>
    <row r="207" spans="1:17" ht="12.75" hidden="1">
      <c r="A207" s="19"/>
      <c r="B207" s="19"/>
      <c r="C207" s="19"/>
      <c r="D207" s="19"/>
      <c r="E207" s="19"/>
      <c r="F207" s="19"/>
      <c r="G207" s="19"/>
      <c r="H207" s="19"/>
      <c r="I207" s="19"/>
      <c r="J207" s="19"/>
      <c r="K207" s="19"/>
      <c r="L207" s="19"/>
      <c r="M207" s="45">
        <f aca="true" t="shared" si="12" ref="M207:M234">MIN(Q$208,M206+12)</f>
        <v>48</v>
      </c>
      <c r="N207" s="46">
        <f>Q208-M207</f>
        <v>312</v>
      </c>
      <c r="O207" s="46"/>
      <c r="P207" s="46"/>
      <c r="Q207" s="47"/>
    </row>
    <row r="208" spans="1:17" ht="12.75" hidden="1">
      <c r="A208" s="19"/>
      <c r="B208" s="19"/>
      <c r="C208" s="19"/>
      <c r="D208" s="19"/>
      <c r="E208" s="19"/>
      <c r="F208" s="19"/>
      <c r="G208" s="19"/>
      <c r="H208" s="19"/>
      <c r="I208" s="19"/>
      <c r="J208" s="19"/>
      <c r="K208" s="19"/>
      <c r="L208" s="19"/>
      <c r="M208" s="45">
        <f t="shared" si="12"/>
        <v>60</v>
      </c>
      <c r="N208" s="46">
        <f>Q208-M208</f>
        <v>300</v>
      </c>
      <c r="O208" s="46"/>
      <c r="P208" s="46" t="s">
        <v>89</v>
      </c>
      <c r="Q208" s="47">
        <f>E6*12</f>
        <v>360</v>
      </c>
    </row>
    <row r="209" spans="1:17" ht="12.75" hidden="1">
      <c r="A209" s="19"/>
      <c r="B209" s="19"/>
      <c r="C209" s="19"/>
      <c r="D209" s="19"/>
      <c r="E209" s="19"/>
      <c r="F209" s="19"/>
      <c r="G209" s="19"/>
      <c r="H209" s="19"/>
      <c r="I209" s="19"/>
      <c r="J209" s="19"/>
      <c r="K209" s="19"/>
      <c r="L209" s="19"/>
      <c r="M209" s="45">
        <f t="shared" si="12"/>
        <v>72</v>
      </c>
      <c r="N209" s="46">
        <f>Q208-M209</f>
        <v>288</v>
      </c>
      <c r="O209" s="46"/>
      <c r="P209" s="46" t="s">
        <v>90</v>
      </c>
      <c r="Q209" s="49">
        <f>E7</f>
        <v>1</v>
      </c>
    </row>
    <row r="210" spans="1:17" ht="12.75" hidden="1">
      <c r="A210" s="19"/>
      <c r="B210" s="19"/>
      <c r="C210" s="19"/>
      <c r="D210" s="19"/>
      <c r="E210" s="19"/>
      <c r="F210" s="19"/>
      <c r="G210" s="19"/>
      <c r="H210" s="19"/>
      <c r="I210" s="19"/>
      <c r="J210" s="19"/>
      <c r="K210" s="19"/>
      <c r="L210" s="19"/>
      <c r="M210" s="45">
        <f t="shared" si="12"/>
        <v>84</v>
      </c>
      <c r="N210" s="46">
        <f>Q208-M210</f>
        <v>276</v>
      </c>
      <c r="O210" s="46"/>
      <c r="P210" s="46" t="s">
        <v>52</v>
      </c>
      <c r="Q210" s="47">
        <f>Q208/12</f>
        <v>30</v>
      </c>
    </row>
    <row r="211" spans="1:17" ht="12.75" hidden="1">
      <c r="A211" s="19"/>
      <c r="B211" s="19"/>
      <c r="C211" s="19"/>
      <c r="D211" s="19"/>
      <c r="E211" s="19"/>
      <c r="F211" s="19"/>
      <c r="G211" s="19"/>
      <c r="H211" s="19"/>
      <c r="I211" s="19"/>
      <c r="J211" s="19"/>
      <c r="K211" s="19"/>
      <c r="L211" s="19"/>
      <c r="M211" s="45">
        <f t="shared" si="12"/>
        <v>96</v>
      </c>
      <c r="N211" s="46">
        <f>Q208-M211</f>
        <v>264</v>
      </c>
      <c r="O211" s="46"/>
      <c r="P211" s="46" t="s">
        <v>91</v>
      </c>
      <c r="Q211" s="49">
        <f>IF(E7,Q210+Q209-IF(PROPER(LEFT(C12,3))="Jan",1,0),"")</f>
        <v>30</v>
      </c>
    </row>
    <row r="212" spans="1:17" ht="12.75" hidden="1">
      <c r="A212" s="19"/>
      <c r="B212" s="19"/>
      <c r="C212" s="19"/>
      <c r="D212" s="19"/>
      <c r="E212" s="19"/>
      <c r="F212" s="19"/>
      <c r="G212" s="19"/>
      <c r="H212" s="19"/>
      <c r="I212" s="19"/>
      <c r="J212" s="19"/>
      <c r="K212" s="19"/>
      <c r="L212" s="19"/>
      <c r="M212" s="45">
        <f t="shared" si="12"/>
        <v>108</v>
      </c>
      <c r="N212" s="46">
        <f>Q208-M212</f>
        <v>252</v>
      </c>
      <c r="O212" s="46"/>
      <c r="P212" s="46" t="s">
        <v>92</v>
      </c>
      <c r="Q212" s="47">
        <f>O203</f>
        <v>12</v>
      </c>
    </row>
    <row r="213" spans="1:17" ht="12.75" hidden="1">
      <c r="A213" s="19"/>
      <c r="B213" s="19"/>
      <c r="C213" s="19"/>
      <c r="D213" s="19"/>
      <c r="E213" s="19"/>
      <c r="F213" s="19"/>
      <c r="G213" s="19"/>
      <c r="H213" s="19"/>
      <c r="I213" s="19"/>
      <c r="J213" s="19"/>
      <c r="K213" s="19"/>
      <c r="L213" s="19"/>
      <c r="M213" s="45">
        <f t="shared" si="12"/>
        <v>120</v>
      </c>
      <c r="N213" s="46">
        <f>Q208-M213</f>
        <v>240</v>
      </c>
      <c r="O213" s="46"/>
      <c r="P213" s="46"/>
      <c r="Q213" s="47"/>
    </row>
    <row r="214" spans="1:17" ht="12.75" hidden="1">
      <c r="A214" s="19"/>
      <c r="B214" s="19"/>
      <c r="C214" s="19"/>
      <c r="D214" s="19"/>
      <c r="E214" s="19"/>
      <c r="F214" s="19"/>
      <c r="G214" s="19"/>
      <c r="H214" s="19"/>
      <c r="I214" s="19"/>
      <c r="J214" s="19"/>
      <c r="K214" s="19"/>
      <c r="L214" s="19"/>
      <c r="M214" s="45">
        <f t="shared" si="12"/>
        <v>132</v>
      </c>
      <c r="N214" s="46">
        <f>Q208-M214</f>
        <v>228</v>
      </c>
      <c r="O214" s="46"/>
      <c r="P214" s="46"/>
      <c r="Q214" s="47"/>
    </row>
    <row r="215" spans="1:17" ht="12.75" hidden="1">
      <c r="A215" s="19"/>
      <c r="B215" s="19"/>
      <c r="C215" s="19"/>
      <c r="D215" s="19"/>
      <c r="E215" s="19"/>
      <c r="F215" s="19"/>
      <c r="G215" s="19"/>
      <c r="H215" s="19"/>
      <c r="I215" s="19"/>
      <c r="J215" s="19"/>
      <c r="K215" s="19"/>
      <c r="L215" s="19"/>
      <c r="M215" s="45">
        <f t="shared" si="12"/>
        <v>144</v>
      </c>
      <c r="N215" s="46">
        <f>Q208-M215</f>
        <v>216</v>
      </c>
      <c r="O215" s="46"/>
      <c r="P215" s="46"/>
      <c r="Q215" s="47"/>
    </row>
    <row r="216" spans="1:17" ht="12.75" hidden="1">
      <c r="A216" s="19"/>
      <c r="B216" s="19"/>
      <c r="C216" s="19"/>
      <c r="D216" s="19"/>
      <c r="E216" s="19"/>
      <c r="F216" s="19"/>
      <c r="G216" s="19"/>
      <c r="H216" s="19"/>
      <c r="I216" s="19"/>
      <c r="J216" s="19"/>
      <c r="K216" s="19"/>
      <c r="L216" s="19"/>
      <c r="M216" s="45">
        <f t="shared" si="12"/>
        <v>156</v>
      </c>
      <c r="N216" s="46">
        <f>Q208-M216</f>
        <v>204</v>
      </c>
      <c r="O216" s="46"/>
      <c r="P216" s="46"/>
      <c r="Q216" s="47"/>
    </row>
    <row r="217" spans="1:17" ht="12.75" hidden="1">
      <c r="A217" s="19"/>
      <c r="B217" s="19"/>
      <c r="C217" s="19"/>
      <c r="D217" s="19"/>
      <c r="E217" s="19"/>
      <c r="F217" s="19"/>
      <c r="G217" s="19"/>
      <c r="H217" s="19"/>
      <c r="I217" s="19"/>
      <c r="J217" s="19"/>
      <c r="K217" s="19"/>
      <c r="L217" s="19"/>
      <c r="M217" s="45">
        <f t="shared" si="12"/>
        <v>168</v>
      </c>
      <c r="N217" s="46">
        <f>Q208-M217</f>
        <v>192</v>
      </c>
      <c r="O217" s="46"/>
      <c r="P217" s="46"/>
      <c r="Q217" s="47"/>
    </row>
    <row r="218" spans="1:17" ht="12.75" hidden="1">
      <c r="A218" s="19"/>
      <c r="B218" s="19"/>
      <c r="C218" s="19"/>
      <c r="D218" s="19"/>
      <c r="E218" s="19"/>
      <c r="F218" s="19"/>
      <c r="G218" s="19"/>
      <c r="H218" s="19"/>
      <c r="I218" s="19"/>
      <c r="J218" s="19"/>
      <c r="K218" s="19"/>
      <c r="L218" s="19"/>
      <c r="M218" s="45">
        <f t="shared" si="12"/>
        <v>180</v>
      </c>
      <c r="N218" s="46">
        <f>Q208-M218</f>
        <v>180</v>
      </c>
      <c r="O218" s="46"/>
      <c r="P218" s="46"/>
      <c r="Q218" s="47"/>
    </row>
    <row r="219" spans="1:17" ht="12.75" hidden="1">
      <c r="A219" s="19"/>
      <c r="B219" s="19"/>
      <c r="C219" s="19"/>
      <c r="D219" s="19"/>
      <c r="E219" s="19"/>
      <c r="F219" s="19"/>
      <c r="G219" s="19"/>
      <c r="H219" s="19"/>
      <c r="I219" s="19"/>
      <c r="J219" s="19"/>
      <c r="K219" s="19"/>
      <c r="L219" s="19"/>
      <c r="M219" s="45">
        <f t="shared" si="12"/>
        <v>192</v>
      </c>
      <c r="N219" s="46">
        <f>Q208-M219</f>
        <v>168</v>
      </c>
      <c r="O219" s="46"/>
      <c r="P219" s="46"/>
      <c r="Q219" s="47"/>
    </row>
    <row r="220" spans="1:17" ht="12.75" hidden="1">
      <c r="A220" s="19"/>
      <c r="B220" s="19"/>
      <c r="C220" s="19"/>
      <c r="D220" s="19"/>
      <c r="E220" s="19"/>
      <c r="F220" s="19"/>
      <c r="G220" s="19"/>
      <c r="H220" s="19"/>
      <c r="I220" s="19"/>
      <c r="J220" s="19"/>
      <c r="K220" s="19"/>
      <c r="L220" s="19"/>
      <c r="M220" s="45">
        <f t="shared" si="12"/>
        <v>204</v>
      </c>
      <c r="N220" s="46">
        <f>Q208-M220</f>
        <v>156</v>
      </c>
      <c r="O220" s="46"/>
      <c r="P220" s="46"/>
      <c r="Q220" s="47"/>
    </row>
    <row r="221" spans="1:17" ht="12.75" hidden="1">
      <c r="A221" s="19"/>
      <c r="B221" s="19"/>
      <c r="C221" s="19"/>
      <c r="D221" s="19"/>
      <c r="E221" s="19"/>
      <c r="F221" s="19"/>
      <c r="G221" s="19"/>
      <c r="H221" s="19"/>
      <c r="I221" s="19"/>
      <c r="J221" s="19"/>
      <c r="K221" s="19"/>
      <c r="L221" s="19"/>
      <c r="M221" s="45">
        <f t="shared" si="12"/>
        <v>216</v>
      </c>
      <c r="N221" s="46">
        <f>Q208-M221</f>
        <v>144</v>
      </c>
      <c r="O221" s="46"/>
      <c r="P221" s="46"/>
      <c r="Q221" s="47"/>
    </row>
    <row r="222" spans="1:17" ht="12.75" hidden="1">
      <c r="A222" s="19"/>
      <c r="B222" s="19"/>
      <c r="C222" s="19"/>
      <c r="D222" s="19"/>
      <c r="E222" s="19"/>
      <c r="F222" s="19"/>
      <c r="G222" s="19"/>
      <c r="H222" s="19"/>
      <c r="I222" s="19"/>
      <c r="J222" s="19"/>
      <c r="K222" s="19"/>
      <c r="L222" s="19"/>
      <c r="M222" s="45">
        <f t="shared" si="12"/>
        <v>228</v>
      </c>
      <c r="N222" s="46">
        <f>Q208-M222</f>
        <v>132</v>
      </c>
      <c r="O222" s="46"/>
      <c r="P222" s="46"/>
      <c r="Q222" s="47"/>
    </row>
    <row r="223" spans="1:17" ht="12.75" hidden="1">
      <c r="A223" s="19"/>
      <c r="B223" s="19"/>
      <c r="C223" s="19"/>
      <c r="D223" s="19"/>
      <c r="E223" s="19"/>
      <c r="F223" s="19"/>
      <c r="G223" s="19"/>
      <c r="H223" s="19"/>
      <c r="I223" s="19"/>
      <c r="J223" s="19"/>
      <c r="K223" s="19"/>
      <c r="L223" s="19"/>
      <c r="M223" s="45">
        <f t="shared" si="12"/>
        <v>240</v>
      </c>
      <c r="N223" s="46">
        <f>Q208-M223</f>
        <v>120</v>
      </c>
      <c r="O223" s="46"/>
      <c r="P223" s="46"/>
      <c r="Q223" s="47"/>
    </row>
    <row r="224" spans="1:17" ht="12.75" hidden="1">
      <c r="A224" s="19"/>
      <c r="B224" s="19"/>
      <c r="C224" s="19"/>
      <c r="D224" s="19"/>
      <c r="E224" s="19"/>
      <c r="F224" s="19"/>
      <c r="G224" s="19"/>
      <c r="H224" s="19"/>
      <c r="I224" s="19"/>
      <c r="J224" s="19"/>
      <c r="K224" s="19"/>
      <c r="L224" s="19"/>
      <c r="M224" s="45">
        <f t="shared" si="12"/>
        <v>252</v>
      </c>
      <c r="N224" s="46">
        <f>Q208-M224</f>
        <v>108</v>
      </c>
      <c r="O224" s="46"/>
      <c r="P224" s="46"/>
      <c r="Q224" s="47"/>
    </row>
    <row r="225" spans="1:17" ht="12.75" hidden="1">
      <c r="A225" s="19"/>
      <c r="B225" s="19"/>
      <c r="C225" s="19"/>
      <c r="D225" s="19"/>
      <c r="E225" s="19"/>
      <c r="F225" s="19"/>
      <c r="G225" s="19"/>
      <c r="H225" s="19"/>
      <c r="I225" s="19"/>
      <c r="J225" s="19"/>
      <c r="K225" s="19"/>
      <c r="L225" s="19"/>
      <c r="M225" s="45">
        <f t="shared" si="12"/>
        <v>264</v>
      </c>
      <c r="N225" s="46">
        <f>Q208-M225</f>
        <v>96</v>
      </c>
      <c r="O225" s="46"/>
      <c r="P225" s="46"/>
      <c r="Q225" s="47"/>
    </row>
    <row r="226" spans="1:17" ht="12.75" hidden="1">
      <c r="A226" s="19"/>
      <c r="B226" s="19"/>
      <c r="C226" s="19"/>
      <c r="D226" s="19"/>
      <c r="E226" s="19"/>
      <c r="F226" s="19"/>
      <c r="G226" s="19"/>
      <c r="H226" s="19"/>
      <c r="I226" s="19"/>
      <c r="J226" s="19"/>
      <c r="K226" s="19"/>
      <c r="L226" s="19"/>
      <c r="M226" s="45">
        <f t="shared" si="12"/>
        <v>276</v>
      </c>
      <c r="N226" s="46">
        <f>Q208-M226</f>
        <v>84</v>
      </c>
      <c r="O226" s="46"/>
      <c r="P226" s="46"/>
      <c r="Q226" s="47"/>
    </row>
    <row r="227" spans="1:17" ht="12.75" hidden="1">
      <c r="A227" s="19"/>
      <c r="B227" s="19"/>
      <c r="C227" s="19"/>
      <c r="D227" s="19"/>
      <c r="E227" s="19"/>
      <c r="F227" s="19"/>
      <c r="G227" s="19"/>
      <c r="H227" s="19"/>
      <c r="I227" s="19"/>
      <c r="J227" s="19"/>
      <c r="K227" s="19"/>
      <c r="L227" s="19"/>
      <c r="M227" s="45">
        <f t="shared" si="12"/>
        <v>288</v>
      </c>
      <c r="N227" s="46">
        <f>Q208-M227</f>
        <v>72</v>
      </c>
      <c r="O227" s="46"/>
      <c r="P227" s="46"/>
      <c r="Q227" s="47"/>
    </row>
    <row r="228" spans="1:17" ht="12.75" hidden="1">
      <c r="A228" s="19"/>
      <c r="B228" s="19"/>
      <c r="C228" s="19"/>
      <c r="D228" s="19"/>
      <c r="E228" s="19"/>
      <c r="F228" s="19"/>
      <c r="G228" s="19"/>
      <c r="H228" s="19"/>
      <c r="I228" s="19"/>
      <c r="J228" s="19"/>
      <c r="K228" s="19"/>
      <c r="L228" s="19"/>
      <c r="M228" s="45">
        <f t="shared" si="12"/>
        <v>300</v>
      </c>
      <c r="N228" s="46">
        <f>Q208-M228</f>
        <v>60</v>
      </c>
      <c r="O228" s="46"/>
      <c r="P228" s="46"/>
      <c r="Q228" s="47"/>
    </row>
    <row r="229" spans="1:17" ht="12.75" hidden="1">
      <c r="A229" s="19"/>
      <c r="B229" s="19"/>
      <c r="C229" s="19"/>
      <c r="D229" s="19"/>
      <c r="E229" s="19"/>
      <c r="F229" s="19"/>
      <c r="G229" s="19"/>
      <c r="H229" s="19"/>
      <c r="I229" s="19"/>
      <c r="J229" s="19"/>
      <c r="K229" s="19"/>
      <c r="L229" s="19"/>
      <c r="M229" s="45">
        <f t="shared" si="12"/>
        <v>312</v>
      </c>
      <c r="N229" s="46">
        <f>Q208-M229</f>
        <v>48</v>
      </c>
      <c r="O229" s="46"/>
      <c r="P229" s="46"/>
      <c r="Q229" s="47"/>
    </row>
    <row r="230" spans="1:17" ht="12.75" hidden="1">
      <c r="A230" s="19"/>
      <c r="B230" s="19"/>
      <c r="C230" s="19"/>
      <c r="D230" s="19"/>
      <c r="E230" s="19"/>
      <c r="F230" s="19"/>
      <c r="G230" s="19"/>
      <c r="H230" s="19"/>
      <c r="I230" s="19"/>
      <c r="J230" s="19"/>
      <c r="K230" s="19"/>
      <c r="L230" s="19"/>
      <c r="M230" s="45">
        <f t="shared" si="12"/>
        <v>324</v>
      </c>
      <c r="N230" s="46">
        <f>Q208-M230</f>
        <v>36</v>
      </c>
      <c r="O230" s="46"/>
      <c r="P230" s="46"/>
      <c r="Q230" s="47"/>
    </row>
    <row r="231" spans="1:17" ht="12.75" hidden="1">
      <c r="A231" s="19"/>
      <c r="B231" s="19"/>
      <c r="C231" s="19"/>
      <c r="D231" s="19"/>
      <c r="E231" s="19"/>
      <c r="F231" s="19"/>
      <c r="G231" s="19"/>
      <c r="H231" s="19"/>
      <c r="I231" s="19"/>
      <c r="J231" s="19"/>
      <c r="K231" s="19"/>
      <c r="L231" s="19"/>
      <c r="M231" s="45">
        <f t="shared" si="12"/>
        <v>336</v>
      </c>
      <c r="N231" s="46">
        <f>Q208-M231</f>
        <v>24</v>
      </c>
      <c r="O231" s="46"/>
      <c r="P231" s="46"/>
      <c r="Q231" s="47"/>
    </row>
    <row r="232" spans="1:17" ht="12.75" hidden="1">
      <c r="A232" s="19"/>
      <c r="B232" s="19"/>
      <c r="C232" s="19"/>
      <c r="D232" s="19"/>
      <c r="E232" s="19"/>
      <c r="F232" s="19"/>
      <c r="G232" s="19"/>
      <c r="H232" s="19"/>
      <c r="I232" s="19"/>
      <c r="J232" s="19"/>
      <c r="K232" s="19"/>
      <c r="L232" s="19"/>
      <c r="M232" s="45">
        <f t="shared" si="12"/>
        <v>348</v>
      </c>
      <c r="N232" s="46">
        <f>Q208-M232</f>
        <v>12</v>
      </c>
      <c r="O232" s="46"/>
      <c r="P232" s="46"/>
      <c r="Q232" s="47"/>
    </row>
    <row r="233" spans="1:17" ht="12.75" hidden="1">
      <c r="A233" s="19"/>
      <c r="B233" s="19"/>
      <c r="C233" s="19"/>
      <c r="D233" s="19"/>
      <c r="E233" s="19"/>
      <c r="F233" s="19"/>
      <c r="G233" s="19"/>
      <c r="H233" s="19"/>
      <c r="I233" s="19"/>
      <c r="J233" s="19"/>
      <c r="K233" s="19"/>
      <c r="L233" s="19"/>
      <c r="M233" s="45">
        <f t="shared" si="12"/>
        <v>360</v>
      </c>
      <c r="N233" s="46">
        <f>Q208-M233</f>
        <v>0</v>
      </c>
      <c r="O233" s="46"/>
      <c r="P233" s="46"/>
      <c r="Q233" s="47"/>
    </row>
    <row r="234" spans="1:17" ht="13.5" hidden="1" thickBot="1">
      <c r="A234" s="19"/>
      <c r="B234" s="19"/>
      <c r="C234" s="19"/>
      <c r="D234" s="19"/>
      <c r="E234" s="19"/>
      <c r="F234" s="19"/>
      <c r="G234" s="19"/>
      <c r="H234" s="19"/>
      <c r="I234" s="19"/>
      <c r="J234" s="19"/>
      <c r="K234" s="19"/>
      <c r="L234" s="19"/>
      <c r="M234" s="50">
        <f t="shared" si="12"/>
        <v>360</v>
      </c>
      <c r="N234" s="51">
        <f>Q208-M234</f>
        <v>0</v>
      </c>
      <c r="O234" s="51"/>
      <c r="P234" s="51"/>
      <c r="Q234" s="52"/>
    </row>
  </sheetData>
  <sheetProtection password="CC59" sheet="1"/>
  <mergeCells count="14">
    <mergeCell ref="B5:D5"/>
    <mergeCell ref="G5:I5"/>
    <mergeCell ref="B3:E3"/>
    <mergeCell ref="G3:J3"/>
    <mergeCell ref="B4:D4"/>
    <mergeCell ref="G4:I4"/>
    <mergeCell ref="B6:D6"/>
    <mergeCell ref="G6:I6"/>
    <mergeCell ref="B10:J10"/>
    <mergeCell ref="B25:I25"/>
    <mergeCell ref="B7:D7"/>
    <mergeCell ref="G7:I7"/>
    <mergeCell ref="B8:D8"/>
    <mergeCell ref="G8:I8"/>
  </mergeCells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34"/>
  <sheetViews>
    <sheetView workbookViewId="0" topLeftCell="A1">
      <selection activeCell="E4" sqref="E4"/>
    </sheetView>
  </sheetViews>
  <sheetFormatPr defaultColWidth="9.140625" defaultRowHeight="12.75"/>
  <cols>
    <col min="3" max="3" width="11.140625" style="0" bestFit="1" customWidth="1"/>
    <col min="4" max="5" width="11.8515625" style="0" bestFit="1" customWidth="1"/>
    <col min="6" max="6" width="10.140625" style="0" bestFit="1" customWidth="1"/>
    <col min="7" max="9" width="11.140625" style="0" bestFit="1" customWidth="1"/>
    <col min="10" max="10" width="11.8515625" style="0" bestFit="1" customWidth="1"/>
  </cols>
  <sheetData>
    <row r="1" spans="1:17" ht="48.75" customHeight="1">
      <c r="A1" s="11"/>
      <c r="B1" s="12" t="s">
        <v>53</v>
      </c>
      <c r="C1" s="13"/>
      <c r="D1" s="13"/>
      <c r="E1" s="13"/>
      <c r="F1" s="13"/>
      <c r="G1" s="13"/>
      <c r="H1" s="13"/>
      <c r="I1" s="13"/>
      <c r="J1" s="13"/>
      <c r="K1" s="11"/>
      <c r="L1" s="14"/>
      <c r="M1" s="14"/>
      <c r="N1" s="15"/>
      <c r="O1" s="15"/>
      <c r="P1" s="15"/>
      <c r="Q1" s="14"/>
    </row>
    <row r="2" spans="1:17" ht="4.5" customHeight="1">
      <c r="A2" s="16"/>
      <c r="B2" s="17"/>
      <c r="C2" s="18"/>
      <c r="D2" s="18"/>
      <c r="E2" s="18"/>
      <c r="F2" s="18"/>
      <c r="G2" s="18"/>
      <c r="H2" s="18"/>
      <c r="I2" s="18"/>
      <c r="J2" s="18"/>
      <c r="K2" s="16"/>
      <c r="L2" s="19"/>
      <c r="M2" s="19"/>
      <c r="N2" s="20"/>
      <c r="O2" s="20"/>
      <c r="P2" s="20"/>
      <c r="Q2" s="19"/>
    </row>
    <row r="3" spans="1:17" ht="18" customHeight="1">
      <c r="A3" s="16"/>
      <c r="B3" s="180" t="s">
        <v>54</v>
      </c>
      <c r="C3" s="181"/>
      <c r="D3" s="181"/>
      <c r="E3" s="182"/>
      <c r="F3" s="16"/>
      <c r="G3" s="180" t="s">
        <v>55</v>
      </c>
      <c r="H3" s="181"/>
      <c r="I3" s="181"/>
      <c r="J3" s="182"/>
      <c r="K3" s="19"/>
      <c r="L3" s="19"/>
      <c r="M3" s="19"/>
      <c r="N3" s="20"/>
      <c r="O3" s="20"/>
      <c r="P3" s="20"/>
      <c r="Q3" s="19"/>
    </row>
    <row r="4" spans="1:17" ht="12" customHeight="1">
      <c r="A4" s="21"/>
      <c r="B4" s="177" t="s">
        <v>56</v>
      </c>
      <c r="C4" s="178"/>
      <c r="D4" s="179"/>
      <c r="E4" s="22">
        <f>'Data Background-Non Cal Poly'!E6</f>
        <v>256500</v>
      </c>
      <c r="F4" s="16"/>
      <c r="G4" s="177" t="s">
        <v>57</v>
      </c>
      <c r="H4" s="178"/>
      <c r="I4" s="179"/>
      <c r="J4" s="23">
        <f>IF(AND(ISNUMBER(E4),ISNUMBER(E5),ISNUMBER(E6),ISNUMBER(E7)),J5*12,"")</f>
        <v>17476.56</v>
      </c>
      <c r="K4" s="24"/>
      <c r="L4" s="24"/>
      <c r="M4" s="24"/>
      <c r="N4" s="25"/>
      <c r="O4" s="25"/>
      <c r="P4" s="25"/>
      <c r="Q4" s="24"/>
    </row>
    <row r="5" spans="1:17" ht="12" customHeight="1">
      <c r="A5" s="21"/>
      <c r="B5" s="177" t="s">
        <v>58</v>
      </c>
      <c r="C5" s="178"/>
      <c r="D5" s="179"/>
      <c r="E5" s="26">
        <f>'Data Background-Non Cal Poly'!C6</f>
        <v>0.055</v>
      </c>
      <c r="F5" s="16"/>
      <c r="G5" s="177" t="s">
        <v>59</v>
      </c>
      <c r="H5" s="178"/>
      <c r="I5" s="179"/>
      <c r="J5" s="23">
        <f>IF(AND(ISNUMBER(E4),ISNUMBER(E5),ISNUMBER(E6),ISNUMBER(E7)),ROUND(PMT(E5/12,Q208,-E4),2),"")</f>
        <v>1456.38</v>
      </c>
      <c r="K5" s="24"/>
      <c r="L5" s="24"/>
      <c r="M5" s="24"/>
      <c r="N5" s="25"/>
      <c r="O5" s="25"/>
      <c r="P5" s="25"/>
      <c r="Q5" s="24"/>
    </row>
    <row r="6" spans="1:17" ht="12" customHeight="1">
      <c r="A6" s="21"/>
      <c r="B6" s="177" t="s">
        <v>60</v>
      </c>
      <c r="C6" s="178"/>
      <c r="D6" s="179"/>
      <c r="E6" s="27">
        <f>'Data Background-Non Cal Poly'!B7</f>
        <v>30</v>
      </c>
      <c r="F6" s="16"/>
      <c r="G6" s="177" t="s">
        <v>61</v>
      </c>
      <c r="H6" s="178"/>
      <c r="I6" s="179"/>
      <c r="J6" s="23">
        <f>IF(AND(ISNUMBER(E4),ISNUMBER(E5),ISNUMBER(E6),ISNUMBER(E7)),VLOOKUP("Dec",C12:J23,7,0),"")</f>
        <v>14021.27</v>
      </c>
      <c r="K6" s="24"/>
      <c r="L6" s="24"/>
      <c r="M6" s="24"/>
      <c r="N6" s="25"/>
      <c r="O6" s="25"/>
      <c r="P6" s="25"/>
      <c r="Q6" s="24"/>
    </row>
    <row r="7" spans="1:17" ht="12" customHeight="1">
      <c r="A7" s="21"/>
      <c r="B7" s="177" t="s">
        <v>62</v>
      </c>
      <c r="C7" s="178"/>
      <c r="D7" s="179"/>
      <c r="E7" s="28">
        <v>1</v>
      </c>
      <c r="F7" s="16"/>
      <c r="G7" s="177" t="s">
        <v>63</v>
      </c>
      <c r="H7" s="178"/>
      <c r="I7" s="179"/>
      <c r="J7" s="23">
        <f>IF(AND(ISNUMBER(E4),ISNUMBER(E5),ISNUMBER(E6),ISNUMBER(E7)),MAX(I23,H27:H56),"")</f>
        <v>267796.80000000005</v>
      </c>
      <c r="K7" s="24"/>
      <c r="L7" s="24"/>
      <c r="M7" s="24"/>
      <c r="N7" s="25"/>
      <c r="O7" s="25"/>
      <c r="P7" s="25"/>
      <c r="Q7" s="24"/>
    </row>
    <row r="8" spans="1:17" ht="12" customHeight="1">
      <c r="A8" s="21"/>
      <c r="B8" s="177" t="s">
        <v>64</v>
      </c>
      <c r="C8" s="178"/>
      <c r="D8" s="179"/>
      <c r="E8" s="27">
        <v>1</v>
      </c>
      <c r="F8" s="16"/>
      <c r="G8" s="177" t="s">
        <v>65</v>
      </c>
      <c r="H8" s="178"/>
      <c r="I8" s="179"/>
      <c r="J8" s="23">
        <f>IF(AND(ISNUMBER(E4),ISNUMBER(E5),ISNUMBER(E6),ISNUMBER(E7)),J7+E4,"")</f>
        <v>524296.8</v>
      </c>
      <c r="K8" s="21"/>
      <c r="L8" s="24"/>
      <c r="M8" s="24"/>
      <c r="N8" s="25"/>
      <c r="O8" s="25"/>
      <c r="P8" s="25"/>
      <c r="Q8" s="24"/>
    </row>
    <row r="9" spans="1:17" ht="9.75" customHeight="1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9"/>
      <c r="M9" s="19"/>
      <c r="N9" s="20"/>
      <c r="O9" s="20"/>
      <c r="P9" s="20"/>
      <c r="Q9" s="19"/>
    </row>
    <row r="10" spans="1:17" ht="18" customHeight="1">
      <c r="A10" s="16"/>
      <c r="B10" s="180" t="s">
        <v>66</v>
      </c>
      <c r="C10" s="181"/>
      <c r="D10" s="181"/>
      <c r="E10" s="181"/>
      <c r="F10" s="181"/>
      <c r="G10" s="181"/>
      <c r="H10" s="181"/>
      <c r="I10" s="181"/>
      <c r="J10" s="182"/>
      <c r="K10" s="16"/>
      <c r="L10" s="19"/>
      <c r="M10" s="19"/>
      <c r="N10" s="20"/>
      <c r="O10" s="20"/>
      <c r="P10" s="20"/>
      <c r="Q10" s="19"/>
    </row>
    <row r="11" spans="1:17" ht="27" customHeight="1">
      <c r="A11" s="29"/>
      <c r="B11" s="30" t="s">
        <v>13</v>
      </c>
      <c r="C11" s="31" t="s">
        <v>67</v>
      </c>
      <c r="D11" s="31" t="s">
        <v>68</v>
      </c>
      <c r="E11" s="31" t="s">
        <v>69</v>
      </c>
      <c r="F11" s="31" t="s">
        <v>0</v>
      </c>
      <c r="G11" s="31" t="s">
        <v>70</v>
      </c>
      <c r="H11" s="31" t="s">
        <v>71</v>
      </c>
      <c r="I11" s="31" t="s">
        <v>72</v>
      </c>
      <c r="J11" s="32" t="s">
        <v>73</v>
      </c>
      <c r="K11" s="29"/>
      <c r="L11" s="33"/>
      <c r="M11" s="33"/>
      <c r="N11" s="34"/>
      <c r="O11" s="34"/>
      <c r="P11" s="34"/>
      <c r="Q11" s="33"/>
    </row>
    <row r="12" spans="1:17" ht="11.25" customHeight="1">
      <c r="A12" s="21"/>
      <c r="B12" s="35">
        <f>IF(SUM(O192)=1,E7,"")</f>
        <v>1</v>
      </c>
      <c r="C12" s="36" t="str">
        <f>VLOOKUP(O192,M192:N203,2)</f>
        <v>Jan</v>
      </c>
      <c r="D12" s="23">
        <f>IF(ISTEXT(J4),"",E4)</f>
        <v>256500</v>
      </c>
      <c r="E12" s="23">
        <f aca="true" t="shared" si="0" ref="E12:E23">IF(ISTEXT(J$5),"",J$5)</f>
        <v>1456.38</v>
      </c>
      <c r="F12" s="23">
        <f aca="true" t="shared" si="1" ref="F12:F23">IF(ISTEXT(J$4),"",E12-G12)</f>
        <v>280.75</v>
      </c>
      <c r="G12" s="23">
        <f aca="true" t="shared" si="2" ref="G12:G23">IF(ISTEXT(J$4),"",ROUND(D12*(E$5/12),2))</f>
        <v>1175.63</v>
      </c>
      <c r="H12" s="23">
        <f>IF(ISTEXT($J$4),"",SUM(F$12:F12))</f>
        <v>280.75</v>
      </c>
      <c r="I12" s="23">
        <f>IF(ISTEXT($J$4),"",SUM(G$12:G12))</f>
        <v>1175.63</v>
      </c>
      <c r="J12" s="23">
        <f aca="true" t="shared" si="3" ref="J12:J23">IF(ISTEXT(J$4),"",D12-F12)</f>
        <v>256219.25</v>
      </c>
      <c r="K12" s="21"/>
      <c r="L12" s="24"/>
      <c r="M12" s="24"/>
      <c r="N12" s="25"/>
      <c r="O12" s="25"/>
      <c r="P12" s="25"/>
      <c r="Q12" s="24"/>
    </row>
    <row r="13" spans="1:17" ht="11.25" customHeight="1">
      <c r="A13" s="21"/>
      <c r="B13" s="35">
        <f>IF(O193=1,E7+1,"")</f>
      </c>
      <c r="C13" s="36" t="str">
        <f>VLOOKUP(O193,M192:N203,2)</f>
        <v>Feb</v>
      </c>
      <c r="D13" s="23">
        <f aca="true" t="shared" si="4" ref="D13:D23">IF(ISTEXT(J$4),"",J12)</f>
        <v>256219.25</v>
      </c>
      <c r="E13" s="23">
        <f t="shared" si="0"/>
        <v>1456.38</v>
      </c>
      <c r="F13" s="23">
        <f t="shared" si="1"/>
        <v>282.0400000000002</v>
      </c>
      <c r="G13" s="23">
        <f t="shared" si="2"/>
        <v>1174.34</v>
      </c>
      <c r="H13" s="23">
        <f>IF(ISTEXT($J$4),"",SUM(F$12:F13))</f>
        <v>562.7900000000002</v>
      </c>
      <c r="I13" s="23">
        <f>IF(ISTEXT($J$4),"",SUM(G$12:G13))</f>
        <v>2349.9700000000003</v>
      </c>
      <c r="J13" s="23">
        <f t="shared" si="3"/>
        <v>255937.21</v>
      </c>
      <c r="K13" s="21"/>
      <c r="L13" s="24"/>
      <c r="M13" s="24"/>
      <c r="N13" s="25"/>
      <c r="O13" s="25"/>
      <c r="P13" s="25"/>
      <c r="Q13" s="24"/>
    </row>
    <row r="14" spans="1:17" ht="11.25" customHeight="1">
      <c r="A14" s="21"/>
      <c r="B14" s="35">
        <f>IF(O194=1,E7+1,"")</f>
      </c>
      <c r="C14" s="36" t="str">
        <f>VLOOKUP(O194,M192:N203,2)</f>
        <v>Mar</v>
      </c>
      <c r="D14" s="23">
        <f t="shared" si="4"/>
        <v>255937.21</v>
      </c>
      <c r="E14" s="23">
        <f t="shared" si="0"/>
        <v>1456.38</v>
      </c>
      <c r="F14" s="23">
        <f t="shared" si="1"/>
        <v>283.33000000000015</v>
      </c>
      <c r="G14" s="23">
        <f t="shared" si="2"/>
        <v>1173.05</v>
      </c>
      <c r="H14" s="23">
        <f>IF(ISTEXT($J$4),"",SUM(F$12:F14))</f>
        <v>846.1200000000003</v>
      </c>
      <c r="I14" s="23">
        <f>IF(ISTEXT($J$4),"",SUM(G$12:G14))</f>
        <v>3523.0200000000004</v>
      </c>
      <c r="J14" s="23">
        <f t="shared" si="3"/>
        <v>255653.88</v>
      </c>
      <c r="K14" s="21"/>
      <c r="L14" s="24"/>
      <c r="M14" s="24"/>
      <c r="N14" s="25"/>
      <c r="O14" s="25"/>
      <c r="P14" s="25"/>
      <c r="Q14" s="24"/>
    </row>
    <row r="15" spans="1:17" ht="11.25" customHeight="1">
      <c r="A15" s="21"/>
      <c r="B15" s="35">
        <f>IF(O195=1,E7+1,"")</f>
      </c>
      <c r="C15" s="36" t="str">
        <f>VLOOKUP(O195,M192:N203,2)</f>
        <v>Apr</v>
      </c>
      <c r="D15" s="23">
        <f t="shared" si="4"/>
        <v>255653.88</v>
      </c>
      <c r="E15" s="23">
        <f t="shared" si="0"/>
        <v>1456.38</v>
      </c>
      <c r="F15" s="23">
        <f t="shared" si="1"/>
        <v>284.6300000000001</v>
      </c>
      <c r="G15" s="23">
        <f t="shared" si="2"/>
        <v>1171.75</v>
      </c>
      <c r="H15" s="23">
        <f>IF(ISTEXT($J$4),"",SUM(F$12:F15))</f>
        <v>1130.7500000000005</v>
      </c>
      <c r="I15" s="23">
        <f>IF(ISTEXT($J$4),"",SUM(G$12:G15))</f>
        <v>4694.77</v>
      </c>
      <c r="J15" s="23">
        <f t="shared" si="3"/>
        <v>255369.25</v>
      </c>
      <c r="K15" s="21"/>
      <c r="L15" s="24"/>
      <c r="M15" s="24"/>
      <c r="N15" s="25"/>
      <c r="O15" s="25"/>
      <c r="P15" s="25"/>
      <c r="Q15" s="24"/>
    </row>
    <row r="16" spans="1:17" ht="11.25" customHeight="1">
      <c r="A16" s="21"/>
      <c r="B16" s="35">
        <f>IF(O196=1,E7+1,"")</f>
      </c>
      <c r="C16" s="36" t="str">
        <f>VLOOKUP(O196,M192:N203,2)</f>
        <v>May</v>
      </c>
      <c r="D16" s="23">
        <f t="shared" si="4"/>
        <v>255369.25</v>
      </c>
      <c r="E16" s="23">
        <f t="shared" si="0"/>
        <v>1456.38</v>
      </c>
      <c r="F16" s="23">
        <f t="shared" si="1"/>
        <v>285.94000000000005</v>
      </c>
      <c r="G16" s="23">
        <f t="shared" si="2"/>
        <v>1170.44</v>
      </c>
      <c r="H16" s="23">
        <f>IF(ISTEXT($J$4),"",SUM(F$12:F16))</f>
        <v>1416.6900000000005</v>
      </c>
      <c r="I16" s="23">
        <f>IF(ISTEXT($J$4),"",SUM(G$12:G16))</f>
        <v>5865.210000000001</v>
      </c>
      <c r="J16" s="23">
        <f t="shared" si="3"/>
        <v>255083.31</v>
      </c>
      <c r="K16" s="21"/>
      <c r="L16" s="24"/>
      <c r="M16" s="24"/>
      <c r="N16" s="25"/>
      <c r="O16" s="25"/>
      <c r="P16" s="25"/>
      <c r="Q16" s="24"/>
    </row>
    <row r="17" spans="1:17" ht="11.25" customHeight="1">
      <c r="A17" s="21"/>
      <c r="B17" s="35">
        <f>IF(O197=1,E7+1,"")</f>
      </c>
      <c r="C17" s="36" t="str">
        <f>VLOOKUP(O197,M192:N203,2)</f>
        <v>Jun</v>
      </c>
      <c r="D17" s="23">
        <f t="shared" si="4"/>
        <v>255083.31</v>
      </c>
      <c r="E17" s="23">
        <f t="shared" si="0"/>
        <v>1456.38</v>
      </c>
      <c r="F17" s="23">
        <f t="shared" si="1"/>
        <v>287.25</v>
      </c>
      <c r="G17" s="23">
        <f t="shared" si="2"/>
        <v>1169.13</v>
      </c>
      <c r="H17" s="23">
        <f>IF(ISTEXT($J$4),"",SUM(F$12:F17))</f>
        <v>1703.9400000000005</v>
      </c>
      <c r="I17" s="23">
        <f>IF(ISTEXT($J$4),"",SUM(G$12:G17))</f>
        <v>7034.340000000001</v>
      </c>
      <c r="J17" s="23">
        <f t="shared" si="3"/>
        <v>254796.06</v>
      </c>
      <c r="K17" s="21"/>
      <c r="L17" s="24"/>
      <c r="M17" s="24"/>
      <c r="N17" s="25"/>
      <c r="O17" s="25"/>
      <c r="P17" s="25"/>
      <c r="Q17" s="24"/>
    </row>
    <row r="18" spans="1:17" ht="11.25" customHeight="1">
      <c r="A18" s="21"/>
      <c r="B18" s="35">
        <f>IF(O198=1,E7+1,"")</f>
      </c>
      <c r="C18" s="36" t="str">
        <f>VLOOKUP(O198,M192:N203,2)</f>
        <v>Jul</v>
      </c>
      <c r="D18" s="23">
        <f t="shared" si="4"/>
        <v>254796.06</v>
      </c>
      <c r="E18" s="23">
        <f t="shared" si="0"/>
        <v>1456.38</v>
      </c>
      <c r="F18" s="23">
        <f t="shared" si="1"/>
        <v>288.5600000000002</v>
      </c>
      <c r="G18" s="23">
        <f t="shared" si="2"/>
        <v>1167.82</v>
      </c>
      <c r="H18" s="23">
        <f>IF(ISTEXT($J$4),"",SUM(F$12:F18))</f>
        <v>1992.5000000000007</v>
      </c>
      <c r="I18" s="23">
        <f>IF(ISTEXT($J$4),"",SUM(G$12:G18))</f>
        <v>8202.160000000002</v>
      </c>
      <c r="J18" s="23">
        <f t="shared" si="3"/>
        <v>254507.5</v>
      </c>
      <c r="K18" s="21"/>
      <c r="L18" s="24"/>
      <c r="M18" s="24"/>
      <c r="N18" s="25"/>
      <c r="O18" s="25"/>
      <c r="P18" s="25"/>
      <c r="Q18" s="24"/>
    </row>
    <row r="19" spans="1:17" ht="11.25" customHeight="1">
      <c r="A19" s="21"/>
      <c r="B19" s="35">
        <f>IF(O199=1,E7+1,"")</f>
      </c>
      <c r="C19" s="36" t="str">
        <f>VLOOKUP(O199,M192:N203,2)</f>
        <v>Aug</v>
      </c>
      <c r="D19" s="23">
        <f t="shared" si="4"/>
        <v>254507.5</v>
      </c>
      <c r="E19" s="23">
        <f t="shared" si="0"/>
        <v>1456.38</v>
      </c>
      <c r="F19" s="23">
        <f t="shared" si="1"/>
        <v>289.8900000000001</v>
      </c>
      <c r="G19" s="23">
        <f t="shared" si="2"/>
        <v>1166.49</v>
      </c>
      <c r="H19" s="23">
        <f>IF(ISTEXT($J$4),"",SUM(F$12:F19))</f>
        <v>2282.390000000001</v>
      </c>
      <c r="I19" s="23">
        <f>IF(ISTEXT($J$4),"",SUM(G$12:G19))</f>
        <v>9368.650000000001</v>
      </c>
      <c r="J19" s="23">
        <f t="shared" si="3"/>
        <v>254217.61</v>
      </c>
      <c r="K19" s="21"/>
      <c r="L19" s="24"/>
      <c r="M19" s="24"/>
      <c r="N19" s="25"/>
      <c r="O19" s="25"/>
      <c r="P19" s="25"/>
      <c r="Q19" s="24"/>
    </row>
    <row r="20" spans="1:17" ht="11.25" customHeight="1">
      <c r="A20" s="21"/>
      <c r="B20" s="35">
        <f>IF(O200=1,E7+1,"")</f>
      </c>
      <c r="C20" s="36" t="str">
        <f>VLOOKUP(O200,M192:N203,2)</f>
        <v>Sep</v>
      </c>
      <c r="D20" s="23">
        <f t="shared" si="4"/>
        <v>254217.61</v>
      </c>
      <c r="E20" s="23">
        <f t="shared" si="0"/>
        <v>1456.38</v>
      </c>
      <c r="F20" s="23">
        <f t="shared" si="1"/>
        <v>291.22</v>
      </c>
      <c r="G20" s="23">
        <f t="shared" si="2"/>
        <v>1165.16</v>
      </c>
      <c r="H20" s="23">
        <f>IF(ISTEXT($J$4),"",SUM(F$12:F20))</f>
        <v>2573.6100000000006</v>
      </c>
      <c r="I20" s="23">
        <f>IF(ISTEXT($J$4),"",SUM(G$12:G20))</f>
        <v>10533.810000000001</v>
      </c>
      <c r="J20" s="23">
        <f t="shared" si="3"/>
        <v>253926.38999999998</v>
      </c>
      <c r="K20" s="21"/>
      <c r="L20" s="24"/>
      <c r="M20" s="24"/>
      <c r="N20" s="25"/>
      <c r="O20" s="25"/>
      <c r="P20" s="25"/>
      <c r="Q20" s="24"/>
    </row>
    <row r="21" spans="1:17" ht="11.25" customHeight="1">
      <c r="A21" s="21"/>
      <c r="B21" s="35">
        <f>IF(O201=1,E7+1,"")</f>
      </c>
      <c r="C21" s="35" t="str">
        <f>VLOOKUP(O201,M192:N203,2)</f>
        <v>Oct</v>
      </c>
      <c r="D21" s="23">
        <f t="shared" si="4"/>
        <v>253926.38999999998</v>
      </c>
      <c r="E21" s="23">
        <f t="shared" si="0"/>
        <v>1456.38</v>
      </c>
      <c r="F21" s="23">
        <f t="shared" si="1"/>
        <v>292.5500000000002</v>
      </c>
      <c r="G21" s="23">
        <f t="shared" si="2"/>
        <v>1163.83</v>
      </c>
      <c r="H21" s="23">
        <f>IF(ISTEXT($J$4),"",SUM(F$12:F21))</f>
        <v>2866.1600000000008</v>
      </c>
      <c r="I21" s="23">
        <f>IF(ISTEXT($J$4),"",SUM(G$12:G21))</f>
        <v>11697.640000000001</v>
      </c>
      <c r="J21" s="23">
        <f t="shared" si="3"/>
        <v>253633.84</v>
      </c>
      <c r="K21" s="21"/>
      <c r="L21" s="24"/>
      <c r="M21" s="24"/>
      <c r="N21" s="25"/>
      <c r="O21" s="25"/>
      <c r="P21" s="25"/>
      <c r="Q21" s="24"/>
    </row>
    <row r="22" spans="1:17" ht="11.25" customHeight="1">
      <c r="A22" s="21"/>
      <c r="B22" s="35">
        <f>IF(O202=1,E7+1,"")</f>
      </c>
      <c r="C22" s="36" t="str">
        <f>VLOOKUP(O202,M192:N203,2)</f>
        <v>Nov</v>
      </c>
      <c r="D22" s="23">
        <f t="shared" si="4"/>
        <v>253633.84</v>
      </c>
      <c r="E22" s="23">
        <f t="shared" si="0"/>
        <v>1456.38</v>
      </c>
      <c r="F22" s="23">
        <f t="shared" si="1"/>
        <v>293.8900000000001</v>
      </c>
      <c r="G22" s="23">
        <f t="shared" si="2"/>
        <v>1162.49</v>
      </c>
      <c r="H22" s="23">
        <f>IF(ISTEXT($J$4),"",SUM(F$12:F22))</f>
        <v>3160.050000000001</v>
      </c>
      <c r="I22" s="23">
        <f>IF(ISTEXT($J$4),"",SUM(G$12:G22))</f>
        <v>12860.130000000001</v>
      </c>
      <c r="J22" s="23">
        <f t="shared" si="3"/>
        <v>253339.94999999998</v>
      </c>
      <c r="K22" s="21"/>
      <c r="L22" s="24"/>
      <c r="M22" s="24"/>
      <c r="N22" s="25"/>
      <c r="O22" s="25"/>
      <c r="P22" s="25"/>
      <c r="Q22" s="24"/>
    </row>
    <row r="23" spans="1:17" ht="11.25" customHeight="1">
      <c r="A23" s="21"/>
      <c r="B23" s="35">
        <f>IF(O203=1,E7+1,"")</f>
      </c>
      <c r="C23" s="36" t="str">
        <f>VLOOKUP(O203,M192:N203,2)</f>
        <v>Dec</v>
      </c>
      <c r="D23" s="23">
        <f t="shared" si="4"/>
        <v>253339.94999999998</v>
      </c>
      <c r="E23" s="23">
        <f t="shared" si="0"/>
        <v>1456.38</v>
      </c>
      <c r="F23" s="23">
        <f t="shared" si="1"/>
        <v>295.24</v>
      </c>
      <c r="G23" s="23">
        <f t="shared" si="2"/>
        <v>1161.14</v>
      </c>
      <c r="H23" s="23">
        <f>IF(ISTEXT($J$4),"",SUM(F$12:F23))</f>
        <v>3455.290000000001</v>
      </c>
      <c r="I23" s="23">
        <f>IF(ISTEXT($J$4),"",SUM(G$12:G23))</f>
        <v>14021.27</v>
      </c>
      <c r="J23" s="23">
        <f t="shared" si="3"/>
        <v>253044.71</v>
      </c>
      <c r="K23" s="21"/>
      <c r="L23" s="24"/>
      <c r="M23" s="24"/>
      <c r="N23" s="25"/>
      <c r="O23" s="25"/>
      <c r="P23" s="25"/>
      <c r="Q23" s="24"/>
    </row>
    <row r="24" spans="1:17" ht="9.75" customHeight="1">
      <c r="A24" s="16"/>
      <c r="B24" s="16"/>
      <c r="C24" s="16"/>
      <c r="D24" s="37"/>
      <c r="E24" s="16"/>
      <c r="F24" s="16"/>
      <c r="G24" s="16"/>
      <c r="H24" s="16"/>
      <c r="I24" s="16"/>
      <c r="J24" s="16"/>
      <c r="K24" s="16"/>
      <c r="L24" s="19"/>
      <c r="M24" s="19"/>
      <c r="N24" s="20"/>
      <c r="O24" s="20"/>
      <c r="P24" s="20"/>
      <c r="Q24" s="19"/>
    </row>
    <row r="25" spans="1:17" ht="18" customHeight="1">
      <c r="A25" s="16"/>
      <c r="B25" s="180" t="s">
        <v>74</v>
      </c>
      <c r="C25" s="181"/>
      <c r="D25" s="181"/>
      <c r="E25" s="181"/>
      <c r="F25" s="181"/>
      <c r="G25" s="181"/>
      <c r="H25" s="181"/>
      <c r="I25" s="182"/>
      <c r="J25" s="16"/>
      <c r="K25" s="16"/>
      <c r="L25" s="19"/>
      <c r="M25" s="19"/>
      <c r="N25" s="20"/>
      <c r="O25" s="20"/>
      <c r="P25" s="20"/>
      <c r="Q25" s="19"/>
    </row>
    <row r="26" spans="1:17" ht="27" customHeight="1">
      <c r="A26" s="29"/>
      <c r="B26" s="30" t="s">
        <v>13</v>
      </c>
      <c r="C26" s="31" t="s">
        <v>68</v>
      </c>
      <c r="D26" s="31" t="s">
        <v>33</v>
      </c>
      <c r="E26" s="31" t="s">
        <v>75</v>
      </c>
      <c r="F26" s="31" t="s">
        <v>47</v>
      </c>
      <c r="G26" s="38" t="s">
        <v>71</v>
      </c>
      <c r="H26" s="31" t="s">
        <v>72</v>
      </c>
      <c r="I26" s="39" t="s">
        <v>73</v>
      </c>
      <c r="J26" s="33"/>
      <c r="K26" s="29"/>
      <c r="L26" s="33"/>
      <c r="M26" s="33"/>
      <c r="N26" s="34"/>
      <c r="O26" s="34"/>
      <c r="P26" s="34"/>
      <c r="Q26" s="33"/>
    </row>
    <row r="27" spans="1:17" ht="11.25" customHeight="1">
      <c r="A27" s="21"/>
      <c r="B27" s="35">
        <f>IF(NOT(ISNUMBER(E7)),"",IF(C12="Jan",1+E7,MAX(B12:B23)))</f>
        <v>2</v>
      </c>
      <c r="C27" s="40">
        <f>IF(ISTEXT(B27),"",INDEX(J12:J23,13-O192,1))</f>
        <v>253044.71</v>
      </c>
      <c r="D27" s="40">
        <f>IF(ISTEXT(B27),"",J$5*12)</f>
        <v>17476.56</v>
      </c>
      <c r="E27" s="40">
        <f aca="true" t="shared" si="5" ref="E27:E56">IF(ISTEXT(B27),"",C27-I27)</f>
        <v>3649.976681961707</v>
      </c>
      <c r="F27" s="40">
        <f aca="true" t="shared" si="6" ref="F27:F56">IF(ISTEXT(B27),"",D27-E27)</f>
        <v>13826.583318038294</v>
      </c>
      <c r="G27" s="40">
        <f>IF(ISTEXT(B27),"",E4-I27)</f>
        <v>7105.266681961715</v>
      </c>
      <c r="H27" s="40">
        <f>IF(ISTEXT(B27),"",IF(Q212&lt;12,(24-Q212)*J5-G27,24*J5-G27))</f>
        <v>27847.853318038287</v>
      </c>
      <c r="I27" s="40">
        <f aca="true" t="shared" si="7" ref="I27:I56">IF(ISTEXT(B27),"",IF(B27=Q$211,0,IF(ISTEXT(B27),"",PV(E$5/12,N205,-J$5))))</f>
        <v>249394.73331803828</v>
      </c>
      <c r="J27" s="24"/>
      <c r="K27" s="21"/>
      <c r="L27" s="24"/>
      <c r="M27" s="24"/>
      <c r="N27" s="25"/>
      <c r="O27" s="25"/>
      <c r="P27" s="25"/>
      <c r="Q27" s="24"/>
    </row>
    <row r="28" spans="1:17" ht="11.25" customHeight="1">
      <c r="A28" s="21"/>
      <c r="B28" s="35">
        <f>IF(ISTEXT(B27),"",IF(MAX(B$27:B27)=Q$211,"",B27+1))</f>
        <v>3</v>
      </c>
      <c r="C28" s="40">
        <f aca="true" t="shared" si="8" ref="C28:C56">IF(ISTEXT(B28),"",I27)</f>
        <v>249394.73331803828</v>
      </c>
      <c r="D28" s="40">
        <f aca="true" t="shared" si="9" ref="D28:D56">IF(ISTEXT(B28),"",J$5*MIN(12,N205))</f>
        <v>17476.56</v>
      </c>
      <c r="E28" s="40">
        <f t="shared" si="5"/>
        <v>3856.092274825234</v>
      </c>
      <c r="F28" s="40">
        <f t="shared" si="6"/>
        <v>13620.467725174767</v>
      </c>
      <c r="G28" s="40">
        <f aca="true" t="shared" si="10" ref="G28:G56">IF(ISTEXT(B28),"",G27+E28)</f>
        <v>10961.35895678695</v>
      </c>
      <c r="H28" s="40">
        <f aca="true" t="shared" si="11" ref="H28:H56">IF(ISTEXT(C28),"",H27+F28)</f>
        <v>41468.32104321306</v>
      </c>
      <c r="I28" s="40">
        <f t="shared" si="7"/>
        <v>245538.64104321305</v>
      </c>
      <c r="J28" s="24"/>
      <c r="K28" s="21"/>
      <c r="L28" s="24"/>
      <c r="M28" s="24"/>
      <c r="N28" s="25"/>
      <c r="O28" s="25"/>
      <c r="P28" s="25"/>
      <c r="Q28" s="24"/>
    </row>
    <row r="29" spans="1:17" ht="11.25" customHeight="1">
      <c r="A29" s="21"/>
      <c r="B29" s="35">
        <f>IF(ISTEXT(B28),"",IF(MAX(B$27:B28)=Q$211,"",B28+1))</f>
        <v>4</v>
      </c>
      <c r="C29" s="40">
        <f t="shared" si="8"/>
        <v>245538.64104321305</v>
      </c>
      <c r="D29" s="40">
        <f t="shared" si="9"/>
        <v>17476.56</v>
      </c>
      <c r="E29" s="40">
        <f t="shared" si="5"/>
        <v>4073.606189497339</v>
      </c>
      <c r="F29" s="40">
        <f t="shared" si="6"/>
        <v>13402.953810502662</v>
      </c>
      <c r="G29" s="40">
        <f t="shared" si="10"/>
        <v>15034.965146284288</v>
      </c>
      <c r="H29" s="40">
        <f t="shared" si="11"/>
        <v>54871.27485371572</v>
      </c>
      <c r="I29" s="40">
        <f t="shared" si="7"/>
        <v>241465.0348537157</v>
      </c>
      <c r="J29" s="24"/>
      <c r="K29" s="21"/>
      <c r="L29" s="24"/>
      <c r="M29" s="24"/>
      <c r="N29" s="25"/>
      <c r="O29" s="25"/>
      <c r="P29" s="25"/>
      <c r="Q29" s="24"/>
    </row>
    <row r="30" spans="1:17" ht="11.25" customHeight="1">
      <c r="A30" s="21"/>
      <c r="B30" s="35">
        <f>IF(ISTEXT(B29),"",IF(MAX(B$27:B29)=Q$211,"",B29+1))</f>
        <v>5</v>
      </c>
      <c r="C30" s="40">
        <f t="shared" si="8"/>
        <v>241465.0348537157</v>
      </c>
      <c r="D30" s="40">
        <f t="shared" si="9"/>
        <v>17476.56</v>
      </c>
      <c r="E30" s="40">
        <f t="shared" si="5"/>
        <v>4303.389598700131</v>
      </c>
      <c r="F30" s="40">
        <f t="shared" si="6"/>
        <v>13173.17040129987</v>
      </c>
      <c r="G30" s="40">
        <f t="shared" si="10"/>
        <v>19338.35474498442</v>
      </c>
      <c r="H30" s="40">
        <f t="shared" si="11"/>
        <v>68044.44525501558</v>
      </c>
      <c r="I30" s="40">
        <f t="shared" si="7"/>
        <v>237161.64525501558</v>
      </c>
      <c r="J30" s="24"/>
      <c r="K30" s="21"/>
      <c r="L30" s="24"/>
      <c r="M30" s="24"/>
      <c r="N30" s="25"/>
      <c r="O30" s="25"/>
      <c r="P30" s="25"/>
      <c r="Q30" s="24"/>
    </row>
    <row r="31" spans="1:17" ht="11.25" customHeight="1">
      <c r="A31" s="21"/>
      <c r="B31" s="35">
        <f>IF(ISTEXT(B30),"",IF(MAX(B$27:B30)=Q$211,"",B30+1))</f>
        <v>6</v>
      </c>
      <c r="C31" s="40">
        <f t="shared" si="8"/>
        <v>237161.64525501558</v>
      </c>
      <c r="D31" s="40">
        <f t="shared" si="9"/>
        <v>17476.56</v>
      </c>
      <c r="E31" s="40">
        <f t="shared" si="5"/>
        <v>4546.134598368168</v>
      </c>
      <c r="F31" s="40">
        <f t="shared" si="6"/>
        <v>12930.425401631834</v>
      </c>
      <c r="G31" s="40">
        <f t="shared" si="10"/>
        <v>23884.489343352587</v>
      </c>
      <c r="H31" s="40">
        <f t="shared" si="11"/>
        <v>80974.87065664741</v>
      </c>
      <c r="I31" s="40">
        <f t="shared" si="7"/>
        <v>232615.5106566474</v>
      </c>
      <c r="J31" s="24"/>
      <c r="K31" s="21"/>
      <c r="L31" s="24"/>
      <c r="M31" s="24"/>
      <c r="N31" s="25"/>
      <c r="O31" s="25"/>
      <c r="P31" s="25"/>
      <c r="Q31" s="24"/>
    </row>
    <row r="32" spans="1:17" ht="11.25" customHeight="1">
      <c r="A32" s="21"/>
      <c r="B32" s="35">
        <f>IF(ISTEXT(B31),"",IF(MAX(B$27:B31)=Q$211,"",B31+1))</f>
        <v>7</v>
      </c>
      <c r="C32" s="40">
        <f t="shared" si="8"/>
        <v>232615.5106566474</v>
      </c>
      <c r="D32" s="40">
        <f t="shared" si="9"/>
        <v>17476.56</v>
      </c>
      <c r="E32" s="40">
        <f t="shared" si="5"/>
        <v>4802.572324086796</v>
      </c>
      <c r="F32" s="40">
        <f t="shared" si="6"/>
        <v>12673.987675913206</v>
      </c>
      <c r="G32" s="40">
        <f t="shared" si="10"/>
        <v>28687.061667439382</v>
      </c>
      <c r="H32" s="40">
        <f t="shared" si="11"/>
        <v>93648.85833256062</v>
      </c>
      <c r="I32" s="40">
        <f t="shared" si="7"/>
        <v>227812.93833256062</v>
      </c>
      <c r="J32" s="24"/>
      <c r="K32" s="21"/>
      <c r="L32" s="24"/>
      <c r="M32" s="24"/>
      <c r="N32" s="25"/>
      <c r="O32" s="25"/>
      <c r="P32" s="25"/>
      <c r="Q32" s="24"/>
    </row>
    <row r="33" spans="1:17" ht="11.25" customHeight="1">
      <c r="A33" s="21"/>
      <c r="B33" s="35">
        <f>IF(ISTEXT(B32),"",IF(MAX(B$27:B32)=Q$211,"",B32+1))</f>
        <v>8</v>
      </c>
      <c r="C33" s="40">
        <f t="shared" si="8"/>
        <v>227812.93833256062</v>
      </c>
      <c r="D33" s="40">
        <f t="shared" si="9"/>
        <v>17476.56</v>
      </c>
      <c r="E33" s="40">
        <f t="shared" si="5"/>
        <v>5073.475153235282</v>
      </c>
      <c r="F33" s="40">
        <f t="shared" si="6"/>
        <v>12403.08484676472</v>
      </c>
      <c r="G33" s="40">
        <f t="shared" si="10"/>
        <v>33760.536820674664</v>
      </c>
      <c r="H33" s="40">
        <f t="shared" si="11"/>
        <v>106051.94317932533</v>
      </c>
      <c r="I33" s="40">
        <f t="shared" si="7"/>
        <v>222739.46317932534</v>
      </c>
      <c r="J33" s="24"/>
      <c r="K33" s="21"/>
      <c r="L33" s="24"/>
      <c r="M33" s="24"/>
      <c r="N33" s="25"/>
      <c r="O33" s="25"/>
      <c r="P33" s="25"/>
      <c r="Q33" s="24"/>
    </row>
    <row r="34" spans="1:17" ht="11.25" customHeight="1">
      <c r="A34" s="21"/>
      <c r="B34" s="35">
        <f>IF(ISTEXT(B33),"",IF(MAX(B$27:B33)=Q$211,"",B33+1))</f>
        <v>9</v>
      </c>
      <c r="C34" s="40">
        <f t="shared" si="8"/>
        <v>222739.46317932534</v>
      </c>
      <c r="D34" s="40">
        <f t="shared" si="9"/>
        <v>17476.56</v>
      </c>
      <c r="E34" s="40">
        <f t="shared" si="5"/>
        <v>5359.6590313484485</v>
      </c>
      <c r="F34" s="40">
        <f t="shared" si="6"/>
        <v>12116.900968651553</v>
      </c>
      <c r="G34" s="40">
        <f t="shared" si="10"/>
        <v>39120.19585202311</v>
      </c>
      <c r="H34" s="40">
        <f t="shared" si="11"/>
        <v>118168.84414797688</v>
      </c>
      <c r="I34" s="40">
        <f t="shared" si="7"/>
        <v>217379.8041479769</v>
      </c>
      <c r="J34" s="24"/>
      <c r="K34" s="21"/>
      <c r="L34" s="24"/>
      <c r="M34" s="24"/>
      <c r="N34" s="25"/>
      <c r="O34" s="25"/>
      <c r="P34" s="25"/>
      <c r="Q34" s="24"/>
    </row>
    <row r="35" spans="1:17" ht="11.25" customHeight="1">
      <c r="A35" s="21"/>
      <c r="B35" s="35">
        <f>IF(ISTEXT(B34),"",IF(MAX(B$27:B34)=Q$211,"",B34+1))</f>
        <v>10</v>
      </c>
      <c r="C35" s="40">
        <f t="shared" si="8"/>
        <v>217379.8041479769</v>
      </c>
      <c r="D35" s="40">
        <f t="shared" si="9"/>
        <v>17476.56</v>
      </c>
      <c r="E35" s="40">
        <f t="shared" si="5"/>
        <v>5661.985929702903</v>
      </c>
      <c r="F35" s="40">
        <f t="shared" si="6"/>
        <v>11814.574070297098</v>
      </c>
      <c r="G35" s="40">
        <f t="shared" si="10"/>
        <v>44782.181781726016</v>
      </c>
      <c r="H35" s="40">
        <f t="shared" si="11"/>
        <v>129983.41821827398</v>
      </c>
      <c r="I35" s="40">
        <f t="shared" si="7"/>
        <v>211717.81821827398</v>
      </c>
      <c r="J35" s="24"/>
      <c r="K35" s="21"/>
      <c r="L35" s="24"/>
      <c r="M35" s="24"/>
      <c r="N35" s="25"/>
      <c r="O35" s="25"/>
      <c r="P35" s="25"/>
      <c r="Q35" s="24"/>
    </row>
    <row r="36" spans="1:17" ht="11.25" customHeight="1">
      <c r="A36" s="21"/>
      <c r="B36" s="35">
        <f>IF(ISTEXT(B35),"",IF(MAX(B$27:B35)=Q$211,"",B35+1))</f>
        <v>11</v>
      </c>
      <c r="C36" s="40">
        <f t="shared" si="8"/>
        <v>211717.81821827398</v>
      </c>
      <c r="D36" s="40">
        <f t="shared" si="9"/>
        <v>17476.56</v>
      </c>
      <c r="E36" s="40">
        <f t="shared" si="5"/>
        <v>5981.366441530379</v>
      </c>
      <c r="F36" s="40">
        <f t="shared" si="6"/>
        <v>11495.193558469622</v>
      </c>
      <c r="G36" s="40">
        <f t="shared" si="10"/>
        <v>50763.548223256395</v>
      </c>
      <c r="H36" s="40">
        <f t="shared" si="11"/>
        <v>141478.6117767436</v>
      </c>
      <c r="I36" s="40">
        <f t="shared" si="7"/>
        <v>205736.4517767436</v>
      </c>
      <c r="J36" s="24"/>
      <c r="K36" s="21"/>
      <c r="L36" s="24"/>
      <c r="M36" s="24"/>
      <c r="N36" s="25"/>
      <c r="O36" s="25"/>
      <c r="P36" s="25"/>
      <c r="Q36" s="24"/>
    </row>
    <row r="37" spans="1:17" ht="11.25" customHeight="1">
      <c r="A37" s="21"/>
      <c r="B37" s="35">
        <f>IF(ISTEXT(B36),"",IF(MAX(B$27:B36)=Q$211,"",B36+1))</f>
        <v>12</v>
      </c>
      <c r="C37" s="40">
        <f t="shared" si="8"/>
        <v>205736.4517767436</v>
      </c>
      <c r="D37" s="40">
        <f t="shared" si="9"/>
        <v>17476.56</v>
      </c>
      <c r="E37" s="40">
        <f t="shared" si="5"/>
        <v>6318.762524678983</v>
      </c>
      <c r="F37" s="40">
        <f t="shared" si="6"/>
        <v>11157.797475321018</v>
      </c>
      <c r="G37" s="40">
        <f t="shared" si="10"/>
        <v>57082.31074793538</v>
      </c>
      <c r="H37" s="40">
        <f t="shared" si="11"/>
        <v>152636.40925206462</v>
      </c>
      <c r="I37" s="40">
        <f t="shared" si="7"/>
        <v>199417.68925206462</v>
      </c>
      <c r="J37" s="24"/>
      <c r="K37" s="21"/>
      <c r="L37" s="24"/>
      <c r="M37" s="24"/>
      <c r="N37" s="25"/>
      <c r="O37" s="25"/>
      <c r="P37" s="25"/>
      <c r="Q37" s="24"/>
    </row>
    <row r="38" spans="1:17" ht="11.25" customHeight="1">
      <c r="A38" s="21"/>
      <c r="B38" s="35">
        <f>IF(ISTEXT(B37),"",IF(MAX(B$27:B37)=Q$211,"",B37+1))</f>
        <v>13</v>
      </c>
      <c r="C38" s="40">
        <f t="shared" si="8"/>
        <v>199417.68925206462</v>
      </c>
      <c r="D38" s="40">
        <f t="shared" si="9"/>
        <v>17476.56</v>
      </c>
      <c r="E38" s="40">
        <f t="shared" si="5"/>
        <v>6675.190398980427</v>
      </c>
      <c r="F38" s="40">
        <f t="shared" si="6"/>
        <v>10801.369601019574</v>
      </c>
      <c r="G38" s="40">
        <f t="shared" si="10"/>
        <v>63757.501146915805</v>
      </c>
      <c r="H38" s="40">
        <f t="shared" si="11"/>
        <v>163437.7788530842</v>
      </c>
      <c r="I38" s="40">
        <f t="shared" si="7"/>
        <v>192742.4988530842</v>
      </c>
      <c r="J38" s="24"/>
      <c r="K38" s="21"/>
      <c r="L38" s="24"/>
      <c r="M38" s="24"/>
      <c r="N38" s="25"/>
      <c r="O38" s="25"/>
      <c r="P38" s="25"/>
      <c r="Q38" s="24"/>
    </row>
    <row r="39" spans="1:17" ht="11.25" customHeight="1">
      <c r="A39" s="21"/>
      <c r="B39" s="35">
        <f>IF(ISTEXT(B38),"",IF(MAX(B$27:B38)=Q$211,"",B38+1))</f>
        <v>14</v>
      </c>
      <c r="C39" s="40">
        <f t="shared" si="8"/>
        <v>192742.4988530842</v>
      </c>
      <c r="D39" s="40">
        <f t="shared" si="9"/>
        <v>17476.56</v>
      </c>
      <c r="E39" s="40">
        <f t="shared" si="5"/>
        <v>7051.723607052962</v>
      </c>
      <c r="F39" s="40">
        <f t="shared" si="6"/>
        <v>10424.83639294704</v>
      </c>
      <c r="G39" s="40">
        <f t="shared" si="10"/>
        <v>70809.22475396877</v>
      </c>
      <c r="H39" s="40">
        <f t="shared" si="11"/>
        <v>173862.61524603123</v>
      </c>
      <c r="I39" s="40">
        <f t="shared" si="7"/>
        <v>185690.77524603123</v>
      </c>
      <c r="J39" s="24"/>
      <c r="K39" s="21"/>
      <c r="L39" s="24"/>
      <c r="M39" s="24"/>
      <c r="N39" s="25"/>
      <c r="O39" s="25"/>
      <c r="P39" s="25"/>
      <c r="Q39" s="24"/>
    </row>
    <row r="40" spans="1:17" ht="11.25" customHeight="1">
      <c r="A40" s="21"/>
      <c r="B40" s="35">
        <f>IF(ISTEXT(B39),"",IF(MAX(B$27:B39)=Q$211,"",B39+1))</f>
        <v>15</v>
      </c>
      <c r="C40" s="40">
        <f t="shared" si="8"/>
        <v>185690.77524603123</v>
      </c>
      <c r="D40" s="40">
        <f t="shared" si="9"/>
        <v>17476.56</v>
      </c>
      <c r="E40" s="40">
        <f t="shared" si="5"/>
        <v>7449.4962477570225</v>
      </c>
      <c r="F40" s="40">
        <f t="shared" si="6"/>
        <v>10027.063752242979</v>
      </c>
      <c r="G40" s="40">
        <f t="shared" si="10"/>
        <v>78258.72100172579</v>
      </c>
      <c r="H40" s="40">
        <f t="shared" si="11"/>
        <v>183889.6789982742</v>
      </c>
      <c r="I40" s="40">
        <f t="shared" si="7"/>
        <v>178241.2789982742</v>
      </c>
      <c r="J40" s="24"/>
      <c r="K40" s="21"/>
      <c r="L40" s="24"/>
      <c r="M40" s="24"/>
      <c r="N40" s="25"/>
      <c r="O40" s="25"/>
      <c r="P40" s="25"/>
      <c r="Q40" s="24"/>
    </row>
    <row r="41" spans="1:17" ht="11.25" customHeight="1">
      <c r="A41" s="21"/>
      <c r="B41" s="35">
        <f>IF(ISTEXT(B40),"",IF(MAX(B$27:B40)=Q$211,"",B40+1))</f>
        <v>16</v>
      </c>
      <c r="C41" s="40">
        <f t="shared" si="8"/>
        <v>178241.2789982742</v>
      </c>
      <c r="D41" s="40">
        <f t="shared" si="9"/>
        <v>17476.56</v>
      </c>
      <c r="E41" s="40">
        <f t="shared" si="5"/>
        <v>7869.706392043037</v>
      </c>
      <c r="F41" s="40">
        <f t="shared" si="6"/>
        <v>9606.853607956964</v>
      </c>
      <c r="G41" s="40">
        <f t="shared" si="10"/>
        <v>86128.42739376883</v>
      </c>
      <c r="H41" s="40">
        <f t="shared" si="11"/>
        <v>193496.53260623117</v>
      </c>
      <c r="I41" s="40">
        <f t="shared" si="7"/>
        <v>170371.57260623117</v>
      </c>
      <c r="J41" s="24"/>
      <c r="K41" s="21"/>
      <c r="L41" s="24"/>
      <c r="M41" s="24"/>
      <c r="N41" s="25"/>
      <c r="O41" s="25"/>
      <c r="P41" s="25"/>
      <c r="Q41" s="24"/>
    </row>
    <row r="42" spans="1:17" ht="11.25" customHeight="1">
      <c r="A42" s="21"/>
      <c r="B42" s="35">
        <f>IF(ISTEXT(B41),"",IF(MAX(B$27:B41)=Q$211,"",B41+1))</f>
        <v>17</v>
      </c>
      <c r="C42" s="40">
        <f t="shared" si="8"/>
        <v>170371.57260623117</v>
      </c>
      <c r="D42" s="40">
        <f t="shared" si="9"/>
        <v>17476.56</v>
      </c>
      <c r="E42" s="40">
        <f t="shared" si="5"/>
        <v>8313.619691480591</v>
      </c>
      <c r="F42" s="40">
        <f t="shared" si="6"/>
        <v>9162.94030851941</v>
      </c>
      <c r="G42" s="40">
        <f t="shared" si="10"/>
        <v>94442.04708524942</v>
      </c>
      <c r="H42" s="40">
        <f t="shared" si="11"/>
        <v>202659.47291475057</v>
      </c>
      <c r="I42" s="40">
        <f t="shared" si="7"/>
        <v>162057.95291475058</v>
      </c>
      <c r="J42" s="24"/>
      <c r="K42" s="21"/>
      <c r="L42" s="24"/>
      <c r="M42" s="24"/>
      <c r="N42" s="25"/>
      <c r="O42" s="25"/>
      <c r="P42" s="25"/>
      <c r="Q42" s="24"/>
    </row>
    <row r="43" spans="1:17" ht="11.25" customHeight="1">
      <c r="A43" s="21"/>
      <c r="B43" s="35">
        <f>IF(ISTEXT(B42),"",IF(MAX(B$27:B42)=Q$211,"",B42+1))</f>
        <v>18</v>
      </c>
      <c r="C43" s="40">
        <f t="shared" si="8"/>
        <v>162057.95291475058</v>
      </c>
      <c r="D43" s="40">
        <f t="shared" si="9"/>
        <v>17476.56</v>
      </c>
      <c r="E43" s="40">
        <f t="shared" si="5"/>
        <v>8782.573190336028</v>
      </c>
      <c r="F43" s="40">
        <f t="shared" si="6"/>
        <v>8693.986809663973</v>
      </c>
      <c r="G43" s="40">
        <f t="shared" si="10"/>
        <v>103224.62027558545</v>
      </c>
      <c r="H43" s="40">
        <f t="shared" si="11"/>
        <v>211353.45972441454</v>
      </c>
      <c r="I43" s="40">
        <f t="shared" si="7"/>
        <v>153275.37972441455</v>
      </c>
      <c r="J43" s="24"/>
      <c r="K43" s="21"/>
      <c r="L43" s="24"/>
      <c r="M43" s="24"/>
      <c r="N43" s="25"/>
      <c r="O43" s="25"/>
      <c r="P43" s="25"/>
      <c r="Q43" s="24"/>
    </row>
    <row r="44" spans="1:17" ht="11.25" customHeight="1">
      <c r="A44" s="21"/>
      <c r="B44" s="35">
        <f>IF(ISTEXT(B43),"",IF(MAX(B$27:B43)=Q$211,"",B43+1))</f>
        <v>19</v>
      </c>
      <c r="C44" s="40">
        <f t="shared" si="8"/>
        <v>153275.37972441455</v>
      </c>
      <c r="D44" s="40">
        <f t="shared" si="9"/>
        <v>17476.56</v>
      </c>
      <c r="E44" s="40">
        <f t="shared" si="5"/>
        <v>9277.979352682305</v>
      </c>
      <c r="F44" s="40">
        <f t="shared" si="6"/>
        <v>8198.580647317696</v>
      </c>
      <c r="G44" s="40">
        <f t="shared" si="10"/>
        <v>112502.59962826775</v>
      </c>
      <c r="H44" s="40">
        <f t="shared" si="11"/>
        <v>219552.04037173223</v>
      </c>
      <c r="I44" s="40">
        <f t="shared" si="7"/>
        <v>143997.40037173225</v>
      </c>
      <c r="J44" s="24"/>
      <c r="K44" s="21"/>
      <c r="L44" s="24"/>
      <c r="M44" s="24"/>
      <c r="N44" s="25"/>
      <c r="O44" s="25"/>
      <c r="P44" s="25"/>
      <c r="Q44" s="24"/>
    </row>
    <row r="45" spans="1:17" ht="11.25" customHeight="1">
      <c r="A45" s="21"/>
      <c r="B45" s="35">
        <f>IF(ISTEXT(B44),"",IF(MAX(B$27:B44)=Q$211,"",B44+1))</f>
        <v>20</v>
      </c>
      <c r="C45" s="40">
        <f t="shared" si="8"/>
        <v>143997.40037173225</v>
      </c>
      <c r="D45" s="40">
        <f t="shared" si="9"/>
        <v>17476.56</v>
      </c>
      <c r="E45" s="40">
        <f t="shared" si="5"/>
        <v>9801.33031666823</v>
      </c>
      <c r="F45" s="40">
        <f t="shared" si="6"/>
        <v>7675.2296833317705</v>
      </c>
      <c r="G45" s="40">
        <f t="shared" si="10"/>
        <v>122303.92994493598</v>
      </c>
      <c r="H45" s="40">
        <f t="shared" si="11"/>
        <v>227227.270055064</v>
      </c>
      <c r="I45" s="40">
        <f t="shared" si="7"/>
        <v>134196.07005506402</v>
      </c>
      <c r="J45" s="24"/>
      <c r="K45" s="21"/>
      <c r="L45" s="24"/>
      <c r="M45" s="24"/>
      <c r="N45" s="25"/>
      <c r="O45" s="25"/>
      <c r="P45" s="25"/>
      <c r="Q45" s="24"/>
    </row>
    <row r="46" spans="1:17" ht="11.25" customHeight="1">
      <c r="A46" s="21"/>
      <c r="B46" s="35">
        <f>IF(ISTEXT(B45),"",IF(MAX(B$27:B45)=Q$211,"",B45+1))</f>
        <v>21</v>
      </c>
      <c r="C46" s="40">
        <f t="shared" si="8"/>
        <v>134196.07005506402</v>
      </c>
      <c r="D46" s="40">
        <f t="shared" si="9"/>
        <v>17476.56</v>
      </c>
      <c r="E46" s="40">
        <f t="shared" si="5"/>
        <v>10354.202388763399</v>
      </c>
      <c r="F46" s="40">
        <f t="shared" si="6"/>
        <v>7122.357611236603</v>
      </c>
      <c r="G46" s="40">
        <f t="shared" si="10"/>
        <v>132658.13233369938</v>
      </c>
      <c r="H46" s="40">
        <f t="shared" si="11"/>
        <v>234349.6276663006</v>
      </c>
      <c r="I46" s="40">
        <f t="shared" si="7"/>
        <v>123841.86766630062</v>
      </c>
      <c r="J46" s="24"/>
      <c r="K46" s="21"/>
      <c r="L46" s="24"/>
      <c r="M46" s="24"/>
      <c r="N46" s="25"/>
      <c r="O46" s="25"/>
      <c r="P46" s="25"/>
      <c r="Q46" s="24"/>
    </row>
    <row r="47" spans="1:17" ht="11.25" customHeight="1">
      <c r="A47" s="21"/>
      <c r="B47" s="35">
        <f>IF(ISTEXT(B46),"",IF(MAX(B$27:B46)=Q$211,"",B46+1))</f>
        <v>22</v>
      </c>
      <c r="C47" s="40">
        <f t="shared" si="8"/>
        <v>123841.86766630062</v>
      </c>
      <c r="D47" s="40">
        <f t="shared" si="9"/>
        <v>17476.56</v>
      </c>
      <c r="E47" s="40">
        <f t="shared" si="5"/>
        <v>10938.260791512308</v>
      </c>
      <c r="F47" s="40">
        <f t="shared" si="6"/>
        <v>6538.299208487693</v>
      </c>
      <c r="G47" s="40">
        <f t="shared" si="10"/>
        <v>143596.3931252117</v>
      </c>
      <c r="H47" s="40">
        <f t="shared" si="11"/>
        <v>240887.9268747883</v>
      </c>
      <c r="I47" s="40">
        <f t="shared" si="7"/>
        <v>112903.60687478831</v>
      </c>
      <c r="J47" s="24"/>
      <c r="K47" s="21"/>
      <c r="L47" s="24"/>
      <c r="M47" s="24"/>
      <c r="N47" s="25"/>
      <c r="O47" s="25"/>
      <c r="P47" s="25"/>
      <c r="Q47" s="24"/>
    </row>
    <row r="48" spans="1:17" ht="11.25" customHeight="1">
      <c r="A48" s="21"/>
      <c r="B48" s="35">
        <f>IF(ISTEXT(B47),"",IF(MAX(B$27:B47)=Q$211,"",B47+1))</f>
        <v>23</v>
      </c>
      <c r="C48" s="40">
        <f t="shared" si="8"/>
        <v>112903.60687478831</v>
      </c>
      <c r="D48" s="40">
        <f t="shared" si="9"/>
        <v>17476.56</v>
      </c>
      <c r="E48" s="40">
        <f t="shared" si="5"/>
        <v>11555.264679100568</v>
      </c>
      <c r="F48" s="40">
        <f t="shared" si="6"/>
        <v>5921.295320899433</v>
      </c>
      <c r="G48" s="40">
        <f t="shared" si="10"/>
        <v>155151.65780431227</v>
      </c>
      <c r="H48" s="40">
        <f t="shared" si="11"/>
        <v>246809.22219568773</v>
      </c>
      <c r="I48" s="40">
        <f t="shared" si="7"/>
        <v>101348.34219568774</v>
      </c>
      <c r="J48" s="24"/>
      <c r="K48" s="21"/>
      <c r="L48" s="24"/>
      <c r="M48" s="24"/>
      <c r="N48" s="25"/>
      <c r="O48" s="25"/>
      <c r="P48" s="25"/>
      <c r="Q48" s="24"/>
    </row>
    <row r="49" spans="1:17" ht="11.25" customHeight="1">
      <c r="A49" s="21"/>
      <c r="B49" s="35">
        <f>IF(ISTEXT(B48),"",IF(MAX(B$27:B48)=Q$211,"",B48+1))</f>
        <v>24</v>
      </c>
      <c r="C49" s="40">
        <f t="shared" si="8"/>
        <v>101348.34219568774</v>
      </c>
      <c r="D49" s="40">
        <f t="shared" si="9"/>
        <v>17476.56</v>
      </c>
      <c r="E49" s="40">
        <f t="shared" si="5"/>
        <v>12207.072435837137</v>
      </c>
      <c r="F49" s="40">
        <f t="shared" si="6"/>
        <v>5269.487564162864</v>
      </c>
      <c r="G49" s="40">
        <f t="shared" si="10"/>
        <v>167358.73024014942</v>
      </c>
      <c r="H49" s="40">
        <f t="shared" si="11"/>
        <v>252078.7097598506</v>
      </c>
      <c r="I49" s="40">
        <f t="shared" si="7"/>
        <v>89141.2697598506</v>
      </c>
      <c r="J49" s="24"/>
      <c r="K49" s="21"/>
      <c r="L49" s="24"/>
      <c r="M49" s="24"/>
      <c r="N49" s="25"/>
      <c r="O49" s="25"/>
      <c r="P49" s="25"/>
      <c r="Q49" s="24"/>
    </row>
    <row r="50" spans="1:17" ht="11.25" customHeight="1">
      <c r="A50" s="21"/>
      <c r="B50" s="35">
        <f>IF(ISTEXT(B49),"",IF(MAX(B$27:B49)=Q$211,"",B49+1))</f>
        <v>25</v>
      </c>
      <c r="C50" s="40">
        <f t="shared" si="8"/>
        <v>89141.2697598506</v>
      </c>
      <c r="D50" s="40">
        <f t="shared" si="9"/>
        <v>17476.56</v>
      </c>
      <c r="E50" s="40">
        <f t="shared" si="5"/>
        <v>12895.647273513998</v>
      </c>
      <c r="F50" s="40">
        <f t="shared" si="6"/>
        <v>4580.9127264860035</v>
      </c>
      <c r="G50" s="40">
        <f t="shared" si="10"/>
        <v>180254.37751366344</v>
      </c>
      <c r="H50" s="40">
        <f t="shared" si="11"/>
        <v>256659.62248633662</v>
      </c>
      <c r="I50" s="40">
        <f t="shared" si="7"/>
        <v>76245.62248633661</v>
      </c>
      <c r="J50" s="24"/>
      <c r="K50" s="21"/>
      <c r="L50" s="24"/>
      <c r="M50" s="24"/>
      <c r="N50" s="25"/>
      <c r="O50" s="25"/>
      <c r="P50" s="25"/>
      <c r="Q50" s="24"/>
    </row>
    <row r="51" spans="1:17" ht="11.25" customHeight="1">
      <c r="A51" s="21"/>
      <c r="B51" s="35">
        <f>IF(ISTEXT(B50),"",IF(MAX(B$27:B50)=Q$211,"",B50+1))</f>
        <v>26</v>
      </c>
      <c r="C51" s="40">
        <f t="shared" si="8"/>
        <v>76245.62248633661</v>
      </c>
      <c r="D51" s="40">
        <f t="shared" si="9"/>
        <v>17476.56</v>
      </c>
      <c r="E51" s="40">
        <f t="shared" si="5"/>
        <v>13623.063144499465</v>
      </c>
      <c r="F51" s="40">
        <f t="shared" si="6"/>
        <v>3853.496855500536</v>
      </c>
      <c r="G51" s="40">
        <f t="shared" si="10"/>
        <v>193877.4406581629</v>
      </c>
      <c r="H51" s="40">
        <f t="shared" si="11"/>
        <v>260513.11934183715</v>
      </c>
      <c r="I51" s="40">
        <f t="shared" si="7"/>
        <v>62622.55934183714</v>
      </c>
      <c r="J51" s="24"/>
      <c r="K51" s="21"/>
      <c r="L51" s="24"/>
      <c r="M51" s="24"/>
      <c r="N51" s="25"/>
      <c r="O51" s="25"/>
      <c r="P51" s="25"/>
      <c r="Q51" s="24"/>
    </row>
    <row r="52" spans="1:17" ht="11.25" customHeight="1">
      <c r="A52" s="21"/>
      <c r="B52" s="35">
        <f>IF(ISTEXT(B51),"",IF(MAX(B$27:B51)=Q$211,"",B51+1))</f>
        <v>27</v>
      </c>
      <c r="C52" s="40">
        <f t="shared" si="8"/>
        <v>62622.55934183714</v>
      </c>
      <c r="D52" s="40">
        <f t="shared" si="9"/>
        <v>17476.56</v>
      </c>
      <c r="E52" s="40">
        <f t="shared" si="5"/>
        <v>14391.510988377697</v>
      </c>
      <c r="F52" s="40">
        <f t="shared" si="6"/>
        <v>3085.0490116223045</v>
      </c>
      <c r="G52" s="40">
        <f t="shared" si="10"/>
        <v>208268.9516465406</v>
      </c>
      <c r="H52" s="40">
        <f t="shared" si="11"/>
        <v>263598.16835345945</v>
      </c>
      <c r="I52" s="40">
        <f t="shared" si="7"/>
        <v>48231.048353459446</v>
      </c>
      <c r="J52" s="24"/>
      <c r="K52" s="21"/>
      <c r="L52" s="24"/>
      <c r="M52" s="24"/>
      <c r="N52" s="25"/>
      <c r="O52" s="25"/>
      <c r="P52" s="25"/>
      <c r="Q52" s="24"/>
    </row>
    <row r="53" spans="1:17" ht="11.25" customHeight="1">
      <c r="A53" s="21"/>
      <c r="B53" s="35">
        <f>IF(ISTEXT(B52),"",IF(MAX(B$27:B52)=Q$211,"",B52+1))</f>
        <v>28</v>
      </c>
      <c r="C53" s="40">
        <f t="shared" si="8"/>
        <v>48231.048353459446</v>
      </c>
      <c r="D53" s="40">
        <f t="shared" si="9"/>
        <v>17476.56</v>
      </c>
      <c r="E53" s="40">
        <f t="shared" si="5"/>
        <v>15203.305330947042</v>
      </c>
      <c r="F53" s="40">
        <f t="shared" si="6"/>
        <v>2273.25466905296</v>
      </c>
      <c r="G53" s="40">
        <f t="shared" si="10"/>
        <v>223472.25697748765</v>
      </c>
      <c r="H53" s="40">
        <f t="shared" si="11"/>
        <v>265871.4230225124</v>
      </c>
      <c r="I53" s="40">
        <f t="shared" si="7"/>
        <v>33027.743022512404</v>
      </c>
      <c r="J53" s="24"/>
      <c r="K53" s="21"/>
      <c r="L53" s="24"/>
      <c r="M53" s="24"/>
      <c r="N53" s="25"/>
      <c r="O53" s="25"/>
      <c r="P53" s="25"/>
      <c r="Q53" s="24"/>
    </row>
    <row r="54" spans="1:17" ht="11.25" customHeight="1">
      <c r="A54" s="21"/>
      <c r="B54" s="35">
        <f>IF(ISTEXT(B53),"",IF(MAX(B$27:B53)=Q$211,"",B53+1))</f>
        <v>29</v>
      </c>
      <c r="C54" s="40">
        <f t="shared" si="8"/>
        <v>33027.743022512404</v>
      </c>
      <c r="D54" s="40">
        <f t="shared" si="9"/>
        <v>17476.56</v>
      </c>
      <c r="E54" s="40">
        <f t="shared" si="5"/>
        <v>16060.891255453778</v>
      </c>
      <c r="F54" s="40">
        <f t="shared" si="6"/>
        <v>1415.668744546223</v>
      </c>
      <c r="G54" s="40">
        <f t="shared" si="10"/>
        <v>239533.14823294143</v>
      </c>
      <c r="H54" s="40">
        <f t="shared" si="11"/>
        <v>267287.09176705865</v>
      </c>
      <c r="I54" s="40">
        <f t="shared" si="7"/>
        <v>16966.851767058626</v>
      </c>
      <c r="J54" s="24"/>
      <c r="K54" s="21"/>
      <c r="L54" s="24"/>
      <c r="M54" s="24"/>
      <c r="N54" s="25"/>
      <c r="O54" s="25"/>
      <c r="P54" s="25"/>
      <c r="Q54" s="24"/>
    </row>
    <row r="55" spans="1:17" ht="11.25" customHeight="1">
      <c r="A55" s="21"/>
      <c r="B55" s="35">
        <f>IF(ISTEXT(B54),"",IF(MAX(B$27:B54)=Q$211,"",B54+1))</f>
        <v>30</v>
      </c>
      <c r="C55" s="40">
        <f t="shared" si="8"/>
        <v>16966.851767058626</v>
      </c>
      <c r="D55" s="40">
        <f t="shared" si="9"/>
        <v>17476.56</v>
      </c>
      <c r="E55" s="40">
        <f t="shared" si="5"/>
        <v>16966.851767058626</v>
      </c>
      <c r="F55" s="40">
        <f t="shared" si="6"/>
        <v>509.7082329413752</v>
      </c>
      <c r="G55" s="40">
        <f t="shared" si="10"/>
        <v>256500.00000000006</v>
      </c>
      <c r="H55" s="40">
        <f t="shared" si="11"/>
        <v>267796.80000000005</v>
      </c>
      <c r="I55" s="40">
        <f t="shared" si="7"/>
        <v>0</v>
      </c>
      <c r="J55" s="24"/>
      <c r="K55" s="21"/>
      <c r="L55" s="24"/>
      <c r="M55" s="24"/>
      <c r="N55" s="25"/>
      <c r="O55" s="25"/>
      <c r="P55" s="25"/>
      <c r="Q55" s="24"/>
    </row>
    <row r="56" spans="1:17" ht="11.25" customHeight="1">
      <c r="A56" s="21"/>
      <c r="B56" s="35">
        <f>IF(ISTEXT(B55),"",IF(MAX(B$27:B55)=Q$211,"",B55+1))</f>
      </c>
      <c r="C56" s="40">
        <f t="shared" si="8"/>
      </c>
      <c r="D56" s="40">
        <f t="shared" si="9"/>
      </c>
      <c r="E56" s="40">
        <f t="shared" si="5"/>
      </c>
      <c r="F56" s="40">
        <f t="shared" si="6"/>
      </c>
      <c r="G56" s="40">
        <f t="shared" si="10"/>
      </c>
      <c r="H56" s="40">
        <f t="shared" si="11"/>
      </c>
      <c r="I56" s="40">
        <f t="shared" si="7"/>
      </c>
      <c r="J56" s="24"/>
      <c r="K56" s="21"/>
      <c r="L56" s="24"/>
      <c r="M56" s="24"/>
      <c r="N56" s="25"/>
      <c r="O56" s="25"/>
      <c r="P56" s="25"/>
      <c r="Q56" s="24"/>
    </row>
    <row r="57" spans="1:17" ht="12.75">
      <c r="A57" s="19"/>
      <c r="B57" s="19"/>
      <c r="C57" s="41"/>
      <c r="D57" s="41"/>
      <c r="E57" s="41"/>
      <c r="F57" s="41"/>
      <c r="G57" s="41"/>
      <c r="H57" s="41"/>
      <c r="I57" s="41"/>
      <c r="J57" s="19"/>
      <c r="K57" s="19"/>
      <c r="L57" s="19"/>
      <c r="M57" s="19"/>
      <c r="N57" s="20"/>
      <c r="O57" s="20"/>
      <c r="P57" s="20"/>
      <c r="Q57" s="19"/>
    </row>
    <row r="58" spans="1:17" ht="12.75">
      <c r="A58" s="19"/>
      <c r="B58" s="19"/>
      <c r="C58" s="41"/>
      <c r="D58" s="41"/>
      <c r="E58" s="41"/>
      <c r="F58" s="41"/>
      <c r="G58" s="41"/>
      <c r="H58" s="41"/>
      <c r="I58" s="41"/>
      <c r="J58" s="19"/>
      <c r="K58" s="19"/>
      <c r="L58" s="19"/>
      <c r="M58" s="19"/>
      <c r="N58" s="20"/>
      <c r="O58" s="20"/>
      <c r="P58" s="20"/>
      <c r="Q58" s="19"/>
    </row>
    <row r="59" spans="1:17" ht="12.75">
      <c r="A59" s="19"/>
      <c r="B59" s="19"/>
      <c r="C59" s="41"/>
      <c r="D59" s="41"/>
      <c r="E59" s="41"/>
      <c r="F59" s="41"/>
      <c r="G59" s="41"/>
      <c r="H59" s="41"/>
      <c r="I59" s="41"/>
      <c r="J59" s="19"/>
      <c r="K59" s="19"/>
      <c r="L59" s="19"/>
      <c r="M59" s="19"/>
      <c r="N59" s="20"/>
      <c r="O59" s="20"/>
      <c r="P59" s="20"/>
      <c r="Q59" s="19"/>
    </row>
    <row r="60" spans="1:17" ht="12.75">
      <c r="A60" s="19"/>
      <c r="B60" s="19"/>
      <c r="C60" s="41"/>
      <c r="D60" s="41"/>
      <c r="E60" s="41"/>
      <c r="F60" s="41"/>
      <c r="G60" s="41"/>
      <c r="H60" s="41"/>
      <c r="I60" s="41"/>
      <c r="J60" s="19"/>
      <c r="K60" s="19"/>
      <c r="L60" s="19"/>
      <c r="M60" s="19"/>
      <c r="N60" s="20"/>
      <c r="O60" s="20"/>
      <c r="P60" s="20"/>
      <c r="Q60" s="19"/>
    </row>
    <row r="61" spans="1:17" ht="12.75">
      <c r="A61" s="19"/>
      <c r="B61" s="19"/>
      <c r="C61" s="41"/>
      <c r="D61" s="41"/>
      <c r="E61" s="41"/>
      <c r="F61" s="41"/>
      <c r="G61" s="41"/>
      <c r="H61" s="41"/>
      <c r="I61" s="41"/>
      <c r="J61" s="19"/>
      <c r="K61" s="19"/>
      <c r="L61" s="19"/>
      <c r="M61" s="19"/>
      <c r="N61" s="20"/>
      <c r="O61" s="20"/>
      <c r="P61" s="20"/>
      <c r="Q61" s="19"/>
    </row>
    <row r="62" spans="1:17" ht="12.75">
      <c r="A62" s="19"/>
      <c r="B62" s="19"/>
      <c r="C62" s="41"/>
      <c r="D62" s="41"/>
      <c r="E62" s="41"/>
      <c r="F62" s="41"/>
      <c r="G62" s="41"/>
      <c r="H62" s="41"/>
      <c r="I62" s="41"/>
      <c r="J62" s="19"/>
      <c r="K62" s="19"/>
      <c r="L62" s="19"/>
      <c r="M62" s="19"/>
      <c r="N62" s="20"/>
      <c r="O62" s="20"/>
      <c r="P62" s="20"/>
      <c r="Q62" s="19"/>
    </row>
    <row r="63" spans="1:17" ht="12.75">
      <c r="A63" s="19"/>
      <c r="B63" s="19"/>
      <c r="C63" s="41"/>
      <c r="D63" s="41"/>
      <c r="E63" s="41"/>
      <c r="F63" s="41"/>
      <c r="G63" s="41"/>
      <c r="H63" s="41"/>
      <c r="I63" s="41"/>
      <c r="J63" s="19"/>
      <c r="K63" s="19"/>
      <c r="L63" s="19"/>
      <c r="M63" s="19"/>
      <c r="N63" s="20"/>
      <c r="O63" s="20"/>
      <c r="P63" s="20"/>
      <c r="Q63" s="19"/>
    </row>
    <row r="64" spans="1:17" ht="12.75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20"/>
      <c r="O64" s="20"/>
      <c r="P64" s="20"/>
      <c r="Q64" s="19"/>
    </row>
    <row r="65" spans="1:17" ht="12.75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20"/>
      <c r="O65" s="20"/>
      <c r="P65" s="20"/>
      <c r="Q65" s="19"/>
    </row>
    <row r="66" spans="1:17" ht="12.75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20"/>
      <c r="O66" s="20"/>
      <c r="P66" s="20"/>
      <c r="Q66" s="19"/>
    </row>
    <row r="67" spans="1:17" ht="12.75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20"/>
      <c r="O67" s="20"/>
      <c r="P67" s="20"/>
      <c r="Q67" s="19"/>
    </row>
    <row r="68" spans="1:17" ht="12.75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20"/>
      <c r="O68" s="20"/>
      <c r="P68" s="20"/>
      <c r="Q68" s="19"/>
    </row>
    <row r="69" spans="1:17" ht="12.75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20"/>
      <c r="O69" s="20"/>
      <c r="P69" s="20"/>
      <c r="Q69" s="19"/>
    </row>
    <row r="70" spans="1:17" ht="12.75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20"/>
      <c r="O70" s="20"/>
      <c r="P70" s="20"/>
      <c r="Q70" s="19"/>
    </row>
    <row r="71" spans="1:17" ht="12.75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20"/>
      <c r="O71" s="20"/>
      <c r="P71" s="20"/>
      <c r="Q71" s="19"/>
    </row>
    <row r="72" spans="1:17" ht="12.75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20"/>
      <c r="O72" s="20"/>
      <c r="P72" s="20"/>
      <c r="Q72" s="19"/>
    </row>
    <row r="73" spans="1:17" ht="12.75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20"/>
      <c r="O73" s="20"/>
      <c r="P73" s="20"/>
      <c r="Q73" s="19"/>
    </row>
    <row r="74" spans="1:17" ht="12.75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20"/>
      <c r="O74" s="20"/>
      <c r="P74" s="20"/>
      <c r="Q74" s="19"/>
    </row>
    <row r="75" spans="1:17" ht="12.75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20"/>
      <c r="O75" s="20"/>
      <c r="P75" s="20"/>
      <c r="Q75" s="19"/>
    </row>
    <row r="76" spans="1:17" ht="12.75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20"/>
      <c r="O76" s="20"/>
      <c r="P76" s="20"/>
      <c r="Q76" s="19"/>
    </row>
    <row r="77" spans="1:17" ht="12.75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20"/>
      <c r="O77" s="20"/>
      <c r="P77" s="20"/>
      <c r="Q77" s="19"/>
    </row>
    <row r="78" spans="1:17" ht="12.75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20"/>
      <c r="O78" s="20"/>
      <c r="P78" s="20"/>
      <c r="Q78" s="19"/>
    </row>
    <row r="79" spans="1:17" ht="12.75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20"/>
      <c r="O79" s="20"/>
      <c r="P79" s="20"/>
      <c r="Q79" s="19"/>
    </row>
    <row r="80" spans="1:17" ht="12.75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20"/>
      <c r="O80" s="20"/>
      <c r="P80" s="20"/>
      <c r="Q80" s="19"/>
    </row>
    <row r="81" spans="1:17" ht="12.75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20"/>
      <c r="O81" s="20"/>
      <c r="P81" s="20"/>
      <c r="Q81" s="19"/>
    </row>
    <row r="82" spans="1:17" ht="12.75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20"/>
      <c r="O82" s="20"/>
      <c r="P82" s="20"/>
      <c r="Q82" s="19"/>
    </row>
    <row r="83" spans="1:17" ht="12.75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20"/>
      <c r="O83" s="20"/>
      <c r="P83" s="20"/>
      <c r="Q83" s="19"/>
    </row>
    <row r="84" spans="1:17" ht="12.75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20"/>
      <c r="O84" s="20"/>
      <c r="P84" s="20"/>
      <c r="Q84" s="19"/>
    </row>
    <row r="85" spans="1:17" ht="12.75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20"/>
      <c r="O85" s="20"/>
      <c r="P85" s="20"/>
      <c r="Q85" s="19"/>
    </row>
    <row r="86" spans="1:17" ht="12.75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20"/>
      <c r="O86" s="20"/>
      <c r="P86" s="20"/>
      <c r="Q86" s="19"/>
    </row>
    <row r="87" spans="1:17" ht="12.75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20"/>
      <c r="O87" s="20"/>
      <c r="P87" s="20"/>
      <c r="Q87" s="19"/>
    </row>
    <row r="88" spans="1:17" ht="12.75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20"/>
      <c r="O88" s="20"/>
      <c r="P88" s="20"/>
      <c r="Q88" s="19"/>
    </row>
    <row r="89" spans="1:17" ht="12.75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20"/>
      <c r="O89" s="20"/>
      <c r="P89" s="20"/>
      <c r="Q89" s="19"/>
    </row>
    <row r="90" spans="1:17" ht="12.75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20"/>
      <c r="O90" s="20"/>
      <c r="P90" s="20"/>
      <c r="Q90" s="19"/>
    </row>
    <row r="91" spans="1:17" ht="12.75">
      <c r="A91" s="19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20"/>
      <c r="O91" s="20"/>
      <c r="P91" s="20"/>
      <c r="Q91" s="19"/>
    </row>
    <row r="92" spans="1:17" ht="12.75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20"/>
      <c r="O92" s="20"/>
      <c r="P92" s="20"/>
      <c r="Q92" s="19"/>
    </row>
    <row r="93" spans="1:17" ht="12.75">
      <c r="A93" s="19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20"/>
      <c r="O93" s="20"/>
      <c r="P93" s="20"/>
      <c r="Q93" s="19"/>
    </row>
    <row r="94" spans="1:17" ht="12.75">
      <c r="A94" s="19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20"/>
      <c r="O94" s="20"/>
      <c r="P94" s="20"/>
      <c r="Q94" s="19"/>
    </row>
    <row r="95" spans="1:17" ht="12.75">
      <c r="A95" s="19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20"/>
      <c r="O95" s="20"/>
      <c r="P95" s="20"/>
      <c r="Q95" s="19"/>
    </row>
    <row r="96" spans="1:17" ht="12.75">
      <c r="A96" s="19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20"/>
      <c r="O96" s="20"/>
      <c r="P96" s="20"/>
      <c r="Q96" s="19"/>
    </row>
    <row r="97" spans="1:17" ht="12.75">
      <c r="A97" s="19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20"/>
      <c r="O97" s="20"/>
      <c r="P97" s="20"/>
      <c r="Q97" s="19"/>
    </row>
    <row r="98" spans="1:17" ht="12.75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20"/>
      <c r="O98" s="20"/>
      <c r="P98" s="20"/>
      <c r="Q98" s="19"/>
    </row>
    <row r="99" spans="1:17" ht="12.75">
      <c r="A99" s="19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20"/>
      <c r="O99" s="20"/>
      <c r="P99" s="20"/>
      <c r="Q99" s="19"/>
    </row>
    <row r="100" spans="1:17" ht="12.75">
      <c r="A100" s="19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20"/>
      <c r="O100" s="20"/>
      <c r="P100" s="20"/>
      <c r="Q100" s="19"/>
    </row>
    <row r="101" spans="1:17" ht="12.75">
      <c r="A101" s="19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20"/>
      <c r="O101" s="20"/>
      <c r="P101" s="20"/>
      <c r="Q101" s="19"/>
    </row>
    <row r="102" spans="1:17" ht="12.75">
      <c r="A102" s="19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20"/>
      <c r="O102" s="20"/>
      <c r="P102" s="20"/>
      <c r="Q102" s="19"/>
    </row>
    <row r="103" spans="1:17" ht="12.75">
      <c r="A103" s="19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20"/>
      <c r="O103" s="20"/>
      <c r="P103" s="20"/>
      <c r="Q103" s="19"/>
    </row>
    <row r="104" spans="1:17" ht="12.75">
      <c r="A104" s="19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20"/>
      <c r="O104" s="20"/>
      <c r="P104" s="20"/>
      <c r="Q104" s="19"/>
    </row>
    <row r="105" spans="1:17" ht="12.75">
      <c r="A105" s="19"/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20"/>
      <c r="O105" s="20"/>
      <c r="P105" s="20"/>
      <c r="Q105" s="19"/>
    </row>
    <row r="106" spans="1:17" ht="12.75">
      <c r="A106" s="19"/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20"/>
      <c r="O106" s="20"/>
      <c r="P106" s="20"/>
      <c r="Q106" s="19"/>
    </row>
    <row r="107" spans="1:17" ht="12.75">
      <c r="A107" s="19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20"/>
      <c r="O107" s="20"/>
      <c r="P107" s="20"/>
      <c r="Q107" s="19"/>
    </row>
    <row r="108" spans="1:17" ht="12.75">
      <c r="A108" s="19"/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20"/>
      <c r="O108" s="20"/>
      <c r="P108" s="20"/>
      <c r="Q108" s="19"/>
    </row>
    <row r="109" spans="1:17" ht="12.75">
      <c r="A109" s="19"/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20"/>
      <c r="O109" s="20"/>
      <c r="P109" s="20"/>
      <c r="Q109" s="19"/>
    </row>
    <row r="110" spans="1:17" ht="12.75">
      <c r="A110" s="19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20"/>
      <c r="O110" s="20"/>
      <c r="P110" s="20"/>
      <c r="Q110" s="19"/>
    </row>
    <row r="111" spans="1:17" ht="12.75">
      <c r="A111" s="19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20"/>
      <c r="O111" s="20"/>
      <c r="P111" s="20"/>
      <c r="Q111" s="19"/>
    </row>
    <row r="112" spans="1:17" ht="12.75">
      <c r="A112" s="19"/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20"/>
      <c r="O112" s="20"/>
      <c r="P112" s="20"/>
      <c r="Q112" s="19"/>
    </row>
    <row r="113" spans="1:17" ht="12.75">
      <c r="A113" s="19"/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20"/>
      <c r="O113" s="20"/>
      <c r="P113" s="20"/>
      <c r="Q113" s="19"/>
    </row>
    <row r="114" spans="1:17" ht="12.75">
      <c r="A114" s="19"/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20"/>
      <c r="O114" s="20"/>
      <c r="P114" s="20"/>
      <c r="Q114" s="19"/>
    </row>
    <row r="115" spans="1:17" ht="12.75">
      <c r="A115" s="19"/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20"/>
      <c r="O115" s="20"/>
      <c r="P115" s="20"/>
      <c r="Q115" s="19"/>
    </row>
    <row r="116" spans="1:17" ht="12.75">
      <c r="A116" s="19"/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20"/>
      <c r="O116" s="20"/>
      <c r="P116" s="20"/>
      <c r="Q116" s="19"/>
    </row>
    <row r="117" spans="1:17" ht="12.75">
      <c r="A117" s="19"/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20"/>
      <c r="O117" s="20"/>
      <c r="P117" s="20"/>
      <c r="Q117" s="19"/>
    </row>
    <row r="118" spans="1:17" ht="12.75">
      <c r="A118" s="19"/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20"/>
      <c r="O118" s="20"/>
      <c r="P118" s="20"/>
      <c r="Q118" s="19"/>
    </row>
    <row r="119" spans="1:17" ht="12.75">
      <c r="A119" s="19"/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20"/>
      <c r="O119" s="20"/>
      <c r="P119" s="20"/>
      <c r="Q119" s="19"/>
    </row>
    <row r="120" spans="1:17" ht="12.75">
      <c r="A120" s="19"/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20"/>
      <c r="O120" s="20"/>
      <c r="P120" s="20"/>
      <c r="Q120" s="19"/>
    </row>
    <row r="121" spans="1:17" ht="12.75">
      <c r="A121" s="19"/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20"/>
      <c r="O121" s="20"/>
      <c r="P121" s="20"/>
      <c r="Q121" s="19"/>
    </row>
    <row r="122" spans="1:17" ht="12.75">
      <c r="A122" s="19"/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20"/>
      <c r="O122" s="20"/>
      <c r="P122" s="20"/>
      <c r="Q122" s="19"/>
    </row>
    <row r="123" spans="1:17" ht="12.75">
      <c r="A123" s="19"/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20"/>
      <c r="O123" s="20"/>
      <c r="P123" s="20"/>
      <c r="Q123" s="19"/>
    </row>
    <row r="124" spans="1:17" ht="12.75">
      <c r="A124" s="19"/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20"/>
      <c r="O124" s="20"/>
      <c r="P124" s="20"/>
      <c r="Q124" s="19"/>
    </row>
    <row r="125" spans="1:17" ht="12.75">
      <c r="A125" s="19"/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20"/>
      <c r="O125" s="20"/>
      <c r="P125" s="20"/>
      <c r="Q125" s="19"/>
    </row>
    <row r="126" spans="1:17" ht="12.75">
      <c r="A126" s="19"/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20"/>
      <c r="O126" s="20"/>
      <c r="P126" s="20"/>
      <c r="Q126" s="19"/>
    </row>
    <row r="127" spans="1:17" ht="12.75">
      <c r="A127" s="19"/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20"/>
      <c r="O127" s="20"/>
      <c r="P127" s="20"/>
      <c r="Q127" s="19"/>
    </row>
    <row r="128" spans="1:17" ht="12.75">
      <c r="A128" s="19"/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20"/>
      <c r="O128" s="20"/>
      <c r="P128" s="20"/>
      <c r="Q128" s="19"/>
    </row>
    <row r="129" spans="1:17" ht="12.75">
      <c r="A129" s="19"/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20"/>
      <c r="O129" s="20"/>
      <c r="P129" s="20"/>
      <c r="Q129" s="19"/>
    </row>
    <row r="130" spans="1:17" ht="12.75">
      <c r="A130" s="19"/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20"/>
      <c r="O130" s="20"/>
      <c r="P130" s="20"/>
      <c r="Q130" s="19"/>
    </row>
    <row r="131" spans="1:17" ht="12.75">
      <c r="A131" s="19"/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20"/>
      <c r="O131" s="20"/>
      <c r="P131" s="20"/>
      <c r="Q131" s="19"/>
    </row>
    <row r="132" spans="1:17" ht="12.75">
      <c r="A132" s="19"/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20"/>
      <c r="O132" s="20"/>
      <c r="P132" s="20"/>
      <c r="Q132" s="19"/>
    </row>
    <row r="133" spans="1:17" ht="12.75">
      <c r="A133" s="19"/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20"/>
      <c r="O133" s="20"/>
      <c r="P133" s="20"/>
      <c r="Q133" s="19"/>
    </row>
    <row r="134" spans="1:17" ht="12.75">
      <c r="A134" s="19"/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20"/>
      <c r="O134" s="20"/>
      <c r="P134" s="20"/>
      <c r="Q134" s="19"/>
    </row>
    <row r="135" spans="1:17" ht="12.75">
      <c r="A135" s="19"/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20"/>
      <c r="O135" s="20"/>
      <c r="P135" s="20"/>
      <c r="Q135" s="19"/>
    </row>
    <row r="136" spans="1:17" ht="12.75">
      <c r="A136" s="19"/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20"/>
      <c r="O136" s="20"/>
      <c r="P136" s="20"/>
      <c r="Q136" s="19"/>
    </row>
    <row r="137" spans="1:17" ht="12.75">
      <c r="A137" s="19"/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20"/>
      <c r="O137" s="20"/>
      <c r="P137" s="20"/>
      <c r="Q137" s="19"/>
    </row>
    <row r="138" spans="1:17" ht="12.75">
      <c r="A138" s="19"/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20"/>
      <c r="O138" s="20"/>
      <c r="P138" s="20"/>
      <c r="Q138" s="19"/>
    </row>
    <row r="139" spans="1:17" ht="12.75">
      <c r="A139" s="19"/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20"/>
      <c r="O139" s="20"/>
      <c r="P139" s="20"/>
      <c r="Q139" s="19"/>
    </row>
    <row r="140" spans="1:17" ht="12.75">
      <c r="A140" s="19"/>
      <c r="B140" s="19"/>
      <c r="C140" s="19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20"/>
      <c r="O140" s="20"/>
      <c r="P140" s="20"/>
      <c r="Q140" s="19"/>
    </row>
    <row r="141" spans="1:17" ht="12.75">
      <c r="A141" s="19"/>
      <c r="B141" s="19"/>
      <c r="C141" s="19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20"/>
      <c r="O141" s="20"/>
      <c r="P141" s="20"/>
      <c r="Q141" s="19"/>
    </row>
    <row r="142" spans="1:17" ht="12.75">
      <c r="A142" s="19"/>
      <c r="B142" s="19"/>
      <c r="C142" s="19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20"/>
      <c r="O142" s="20"/>
      <c r="P142" s="20"/>
      <c r="Q142" s="19"/>
    </row>
    <row r="143" spans="1:17" ht="12.75">
      <c r="A143" s="19"/>
      <c r="B143" s="19"/>
      <c r="C143" s="19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20"/>
      <c r="O143" s="20"/>
      <c r="P143" s="20"/>
      <c r="Q143" s="19"/>
    </row>
    <row r="144" spans="1:17" ht="12.75">
      <c r="A144" s="19"/>
      <c r="B144" s="19"/>
      <c r="C144" s="19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20"/>
      <c r="O144" s="20"/>
      <c r="P144" s="20"/>
      <c r="Q144" s="19"/>
    </row>
    <row r="145" spans="1:17" ht="12.75">
      <c r="A145" s="19"/>
      <c r="B145" s="19"/>
      <c r="C145" s="19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20"/>
      <c r="O145" s="20"/>
      <c r="P145" s="20"/>
      <c r="Q145" s="19"/>
    </row>
    <row r="146" spans="1:17" ht="12.75">
      <c r="A146" s="19"/>
      <c r="B146" s="19"/>
      <c r="C146" s="19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20"/>
      <c r="O146" s="20"/>
      <c r="P146" s="20"/>
      <c r="Q146" s="19"/>
    </row>
    <row r="147" spans="1:17" ht="12.75">
      <c r="A147" s="19"/>
      <c r="B147" s="19"/>
      <c r="C147" s="19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20"/>
      <c r="O147" s="20"/>
      <c r="P147" s="20"/>
      <c r="Q147" s="19"/>
    </row>
    <row r="148" spans="1:17" ht="12.75">
      <c r="A148" s="19"/>
      <c r="B148" s="19"/>
      <c r="C148" s="19"/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20"/>
      <c r="O148" s="20"/>
      <c r="P148" s="20"/>
      <c r="Q148" s="19"/>
    </row>
    <row r="149" spans="1:17" ht="12.75">
      <c r="A149" s="19"/>
      <c r="B149" s="19"/>
      <c r="C149" s="19"/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20"/>
      <c r="O149" s="20"/>
      <c r="P149" s="20"/>
      <c r="Q149" s="19"/>
    </row>
    <row r="150" spans="1:17" ht="12.75">
      <c r="A150" s="19"/>
      <c r="B150" s="19"/>
      <c r="C150" s="19"/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20"/>
      <c r="O150" s="20"/>
      <c r="P150" s="20"/>
      <c r="Q150" s="19"/>
    </row>
    <row r="151" spans="1:17" ht="12.75">
      <c r="A151" s="19"/>
      <c r="B151" s="19"/>
      <c r="C151" s="19"/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20"/>
      <c r="O151" s="20"/>
      <c r="P151" s="20"/>
      <c r="Q151" s="19"/>
    </row>
    <row r="152" spans="1:17" ht="12.75">
      <c r="A152" s="19"/>
      <c r="B152" s="19"/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20"/>
      <c r="O152" s="20"/>
      <c r="P152" s="20"/>
      <c r="Q152" s="19"/>
    </row>
    <row r="153" spans="1:17" ht="12.75">
      <c r="A153" s="19"/>
      <c r="B153" s="19"/>
      <c r="C153" s="19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20"/>
      <c r="O153" s="20"/>
      <c r="P153" s="20"/>
      <c r="Q153" s="19"/>
    </row>
    <row r="154" spans="1:17" ht="12.75">
      <c r="A154" s="19"/>
      <c r="B154" s="19"/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20"/>
      <c r="O154" s="20"/>
      <c r="P154" s="20"/>
      <c r="Q154" s="19"/>
    </row>
    <row r="155" spans="1:17" ht="12.75">
      <c r="A155" s="19"/>
      <c r="B155" s="19"/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20"/>
      <c r="O155" s="20"/>
      <c r="P155" s="20"/>
      <c r="Q155" s="19"/>
    </row>
    <row r="156" spans="1:17" ht="12.75">
      <c r="A156" s="19"/>
      <c r="B156" s="19"/>
      <c r="C156" s="19"/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20"/>
      <c r="O156" s="20"/>
      <c r="P156" s="20"/>
      <c r="Q156" s="19"/>
    </row>
    <row r="157" spans="1:17" ht="12.75">
      <c r="A157" s="19"/>
      <c r="B157" s="19"/>
      <c r="C157" s="19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20"/>
      <c r="O157" s="20"/>
      <c r="P157" s="20"/>
      <c r="Q157" s="19"/>
    </row>
    <row r="158" spans="1:17" ht="12.75">
      <c r="A158" s="19"/>
      <c r="B158" s="19"/>
      <c r="C158" s="19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20"/>
      <c r="O158" s="20"/>
      <c r="P158" s="20"/>
      <c r="Q158" s="19"/>
    </row>
    <row r="159" spans="1:17" ht="12.75">
      <c r="A159" s="19"/>
      <c r="B159" s="19"/>
      <c r="C159" s="19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20"/>
      <c r="O159" s="20"/>
      <c r="P159" s="20"/>
      <c r="Q159" s="19"/>
    </row>
    <row r="160" spans="1:17" ht="12.75">
      <c r="A160" s="19"/>
      <c r="B160" s="19"/>
      <c r="C160" s="19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20"/>
      <c r="O160" s="20"/>
      <c r="P160" s="20"/>
      <c r="Q160" s="19"/>
    </row>
    <row r="161" spans="1:17" ht="12.75">
      <c r="A161" s="19"/>
      <c r="B161" s="19"/>
      <c r="C161" s="19"/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20"/>
      <c r="O161" s="20"/>
      <c r="P161" s="20"/>
      <c r="Q161" s="19"/>
    </row>
    <row r="162" spans="1:17" ht="12.75">
      <c r="A162" s="19"/>
      <c r="B162" s="19"/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20"/>
      <c r="O162" s="20"/>
      <c r="P162" s="20"/>
      <c r="Q162" s="19"/>
    </row>
    <row r="163" spans="1:17" ht="12.75">
      <c r="A163" s="19"/>
      <c r="B163" s="19"/>
      <c r="C163" s="19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20"/>
      <c r="O163" s="20"/>
      <c r="P163" s="20"/>
      <c r="Q163" s="19"/>
    </row>
    <row r="164" spans="1:17" ht="12.75">
      <c r="A164" s="19"/>
      <c r="B164" s="19"/>
      <c r="C164" s="19"/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20"/>
      <c r="O164" s="20"/>
      <c r="P164" s="20"/>
      <c r="Q164" s="19"/>
    </row>
    <row r="165" spans="1:17" ht="12.75">
      <c r="A165" s="19"/>
      <c r="B165" s="19"/>
      <c r="C165" s="19"/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20"/>
      <c r="O165" s="20"/>
      <c r="P165" s="20"/>
      <c r="Q165" s="19"/>
    </row>
    <row r="166" spans="1:17" ht="12.75">
      <c r="A166" s="19"/>
      <c r="B166" s="19"/>
      <c r="C166" s="19"/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20"/>
      <c r="O166" s="20"/>
      <c r="P166" s="20"/>
      <c r="Q166" s="19"/>
    </row>
    <row r="167" spans="1:17" ht="12.75">
      <c r="A167" s="19"/>
      <c r="B167" s="19"/>
      <c r="C167" s="19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20"/>
      <c r="O167" s="20"/>
      <c r="P167" s="20"/>
      <c r="Q167" s="19"/>
    </row>
    <row r="168" spans="1:17" ht="12.75">
      <c r="A168" s="19"/>
      <c r="B168" s="19"/>
      <c r="C168" s="19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20"/>
      <c r="O168" s="20"/>
      <c r="P168" s="20"/>
      <c r="Q168" s="19"/>
    </row>
    <row r="169" spans="1:17" ht="12.75">
      <c r="A169" s="19"/>
      <c r="B169" s="19"/>
      <c r="C169" s="19"/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20"/>
      <c r="O169" s="20"/>
      <c r="P169" s="20"/>
      <c r="Q169" s="19"/>
    </row>
    <row r="170" spans="1:17" ht="12.75">
      <c r="A170" s="19"/>
      <c r="B170" s="19"/>
      <c r="C170" s="19"/>
      <c r="D170" s="19"/>
      <c r="E170" s="19"/>
      <c r="F170" s="19"/>
      <c r="G170" s="19"/>
      <c r="H170" s="19"/>
      <c r="I170" s="19"/>
      <c r="J170" s="19"/>
      <c r="K170" s="19"/>
      <c r="L170" s="19"/>
      <c r="M170" s="19"/>
      <c r="N170" s="20"/>
      <c r="O170" s="20"/>
      <c r="P170" s="20"/>
      <c r="Q170" s="19"/>
    </row>
    <row r="171" spans="1:17" ht="12.75">
      <c r="A171" s="19"/>
      <c r="B171" s="19"/>
      <c r="C171" s="19"/>
      <c r="D171" s="19"/>
      <c r="E171" s="19"/>
      <c r="F171" s="19"/>
      <c r="G171" s="19"/>
      <c r="H171" s="19"/>
      <c r="I171" s="19"/>
      <c r="J171" s="19"/>
      <c r="K171" s="19"/>
      <c r="L171" s="19"/>
      <c r="M171" s="19"/>
      <c r="N171" s="20"/>
      <c r="O171" s="20"/>
      <c r="P171" s="20"/>
      <c r="Q171" s="19"/>
    </row>
    <row r="172" spans="1:17" ht="12.75">
      <c r="A172" s="19"/>
      <c r="B172" s="19"/>
      <c r="C172" s="19"/>
      <c r="D172" s="19"/>
      <c r="E172" s="19"/>
      <c r="F172" s="19"/>
      <c r="G172" s="19"/>
      <c r="H172" s="19"/>
      <c r="I172" s="19"/>
      <c r="J172" s="19"/>
      <c r="K172" s="19"/>
      <c r="L172" s="19"/>
      <c r="M172" s="19"/>
      <c r="N172" s="20"/>
      <c r="O172" s="20"/>
      <c r="P172" s="20"/>
      <c r="Q172" s="19"/>
    </row>
    <row r="173" spans="1:17" ht="12.75">
      <c r="A173" s="19"/>
      <c r="B173" s="19"/>
      <c r="C173" s="19"/>
      <c r="D173" s="19"/>
      <c r="E173" s="19"/>
      <c r="F173" s="19"/>
      <c r="G173" s="19"/>
      <c r="H173" s="19"/>
      <c r="I173" s="19"/>
      <c r="J173" s="19"/>
      <c r="K173" s="19"/>
      <c r="L173" s="19"/>
      <c r="M173" s="19"/>
      <c r="N173" s="20"/>
      <c r="O173" s="20"/>
      <c r="P173" s="20"/>
      <c r="Q173" s="19"/>
    </row>
    <row r="174" spans="1:17" ht="12.75">
      <c r="A174" s="19"/>
      <c r="B174" s="19"/>
      <c r="C174" s="19"/>
      <c r="D174" s="19"/>
      <c r="E174" s="19"/>
      <c r="F174" s="19"/>
      <c r="G174" s="19"/>
      <c r="H174" s="19"/>
      <c r="I174" s="19"/>
      <c r="J174" s="19"/>
      <c r="K174" s="19"/>
      <c r="L174" s="19"/>
      <c r="M174" s="19"/>
      <c r="N174" s="20"/>
      <c r="O174" s="20"/>
      <c r="P174" s="20"/>
      <c r="Q174" s="19"/>
    </row>
    <row r="175" spans="1:17" ht="12.75">
      <c r="A175" s="19"/>
      <c r="B175" s="19"/>
      <c r="C175" s="19"/>
      <c r="D175" s="19"/>
      <c r="E175" s="19"/>
      <c r="F175" s="19"/>
      <c r="G175" s="19"/>
      <c r="H175" s="19"/>
      <c r="I175" s="19"/>
      <c r="J175" s="19"/>
      <c r="K175" s="19"/>
      <c r="L175" s="19"/>
      <c r="M175" s="19"/>
      <c r="N175" s="20"/>
      <c r="O175" s="20"/>
      <c r="P175" s="20"/>
      <c r="Q175" s="19"/>
    </row>
    <row r="176" spans="1:17" ht="12.75">
      <c r="A176" s="19"/>
      <c r="B176" s="19"/>
      <c r="C176" s="19"/>
      <c r="D176" s="19"/>
      <c r="E176" s="19"/>
      <c r="F176" s="19"/>
      <c r="G176" s="19"/>
      <c r="H176" s="19"/>
      <c r="I176" s="19"/>
      <c r="J176" s="19"/>
      <c r="K176" s="19"/>
      <c r="L176" s="19"/>
      <c r="M176" s="19"/>
      <c r="N176" s="20"/>
      <c r="O176" s="20"/>
      <c r="P176" s="20"/>
      <c r="Q176" s="19"/>
    </row>
    <row r="177" spans="1:17" ht="12.75">
      <c r="A177" s="19"/>
      <c r="B177" s="19"/>
      <c r="C177" s="19"/>
      <c r="D177" s="19"/>
      <c r="E177" s="19"/>
      <c r="F177" s="19"/>
      <c r="G177" s="19"/>
      <c r="H177" s="19"/>
      <c r="I177" s="19"/>
      <c r="J177" s="19"/>
      <c r="K177" s="19"/>
      <c r="L177" s="19"/>
      <c r="M177" s="19"/>
      <c r="N177" s="20"/>
      <c r="O177" s="20"/>
      <c r="P177" s="20"/>
      <c r="Q177" s="19"/>
    </row>
    <row r="178" spans="1:17" ht="12.75">
      <c r="A178" s="19"/>
      <c r="B178" s="19"/>
      <c r="C178" s="19"/>
      <c r="D178" s="19"/>
      <c r="E178" s="19"/>
      <c r="F178" s="19"/>
      <c r="G178" s="19"/>
      <c r="H178" s="19"/>
      <c r="I178" s="19"/>
      <c r="J178" s="19"/>
      <c r="K178" s="19"/>
      <c r="L178" s="19"/>
      <c r="M178" s="19"/>
      <c r="N178" s="20"/>
      <c r="O178" s="20"/>
      <c r="P178" s="20"/>
      <c r="Q178" s="19"/>
    </row>
    <row r="179" spans="1:17" ht="12.75">
      <c r="A179" s="19"/>
      <c r="B179" s="19"/>
      <c r="C179" s="19"/>
      <c r="D179" s="19"/>
      <c r="E179" s="19"/>
      <c r="F179" s="19"/>
      <c r="G179" s="19"/>
      <c r="H179" s="19"/>
      <c r="I179" s="19"/>
      <c r="J179" s="19"/>
      <c r="K179" s="19"/>
      <c r="L179" s="19"/>
      <c r="M179" s="19"/>
      <c r="N179" s="20"/>
      <c r="O179" s="20"/>
      <c r="P179" s="20"/>
      <c r="Q179" s="19"/>
    </row>
    <row r="180" spans="1:17" ht="12.75">
      <c r="A180" s="19"/>
      <c r="B180" s="19"/>
      <c r="C180" s="19"/>
      <c r="D180" s="19"/>
      <c r="E180" s="19"/>
      <c r="F180" s="19"/>
      <c r="G180" s="19"/>
      <c r="H180" s="19"/>
      <c r="I180" s="19"/>
      <c r="J180" s="19"/>
      <c r="K180" s="19"/>
      <c r="L180" s="19"/>
      <c r="M180" s="19"/>
      <c r="N180" s="20"/>
      <c r="O180" s="20"/>
      <c r="P180" s="20"/>
      <c r="Q180" s="19"/>
    </row>
    <row r="181" spans="1:17" ht="12.75">
      <c r="A181" s="19"/>
      <c r="B181" s="19"/>
      <c r="C181" s="19"/>
      <c r="D181" s="19"/>
      <c r="E181" s="19"/>
      <c r="F181" s="19"/>
      <c r="G181" s="19"/>
      <c r="H181" s="19"/>
      <c r="I181" s="19"/>
      <c r="J181" s="19"/>
      <c r="K181" s="19"/>
      <c r="L181" s="19"/>
      <c r="M181" s="19"/>
      <c r="N181" s="20"/>
      <c r="O181" s="20"/>
      <c r="P181" s="20"/>
      <c r="Q181" s="19"/>
    </row>
    <row r="182" spans="1:17" ht="12.75">
      <c r="A182" s="19"/>
      <c r="B182" s="19"/>
      <c r="C182" s="19"/>
      <c r="D182" s="19"/>
      <c r="E182" s="19"/>
      <c r="F182" s="19"/>
      <c r="G182" s="19"/>
      <c r="H182" s="19"/>
      <c r="I182" s="19"/>
      <c r="J182" s="19"/>
      <c r="K182" s="19"/>
      <c r="L182" s="19"/>
      <c r="M182" s="19"/>
      <c r="N182" s="20"/>
      <c r="O182" s="20"/>
      <c r="P182" s="20"/>
      <c r="Q182" s="19"/>
    </row>
    <row r="183" spans="1:17" ht="12.75">
      <c r="A183" s="19"/>
      <c r="B183" s="19"/>
      <c r="C183" s="19"/>
      <c r="D183" s="19"/>
      <c r="E183" s="19"/>
      <c r="F183" s="19"/>
      <c r="G183" s="19"/>
      <c r="H183" s="19"/>
      <c r="I183" s="19"/>
      <c r="J183" s="19"/>
      <c r="K183" s="19"/>
      <c r="L183" s="19"/>
      <c r="M183" s="19"/>
      <c r="N183" s="20"/>
      <c r="O183" s="20"/>
      <c r="P183" s="20"/>
      <c r="Q183" s="19"/>
    </row>
    <row r="184" spans="1:17" ht="12.75">
      <c r="A184" s="19"/>
      <c r="B184" s="19"/>
      <c r="C184" s="19"/>
      <c r="D184" s="19"/>
      <c r="E184" s="19"/>
      <c r="F184" s="19"/>
      <c r="G184" s="19"/>
      <c r="H184" s="19"/>
      <c r="I184" s="19"/>
      <c r="J184" s="19"/>
      <c r="K184" s="19"/>
      <c r="L184" s="19"/>
      <c r="M184" s="19"/>
      <c r="N184" s="20"/>
      <c r="O184" s="20"/>
      <c r="P184" s="20"/>
      <c r="Q184" s="19"/>
    </row>
    <row r="185" spans="1:17" ht="12.75">
      <c r="A185" s="19"/>
      <c r="B185" s="19"/>
      <c r="C185" s="19"/>
      <c r="D185" s="19"/>
      <c r="E185" s="19"/>
      <c r="F185" s="19"/>
      <c r="G185" s="19"/>
      <c r="H185" s="19"/>
      <c r="I185" s="19"/>
      <c r="J185" s="19"/>
      <c r="K185" s="19"/>
      <c r="L185" s="19"/>
      <c r="M185" s="19"/>
      <c r="N185" s="20"/>
      <c r="O185" s="20"/>
      <c r="P185" s="20"/>
      <c r="Q185" s="19"/>
    </row>
    <row r="186" spans="1:17" ht="12.75">
      <c r="A186" s="19"/>
      <c r="B186" s="19"/>
      <c r="C186" s="19"/>
      <c r="D186" s="19"/>
      <c r="E186" s="19"/>
      <c r="F186" s="19"/>
      <c r="G186" s="19"/>
      <c r="H186" s="19"/>
      <c r="I186" s="19"/>
      <c r="J186" s="19"/>
      <c r="K186" s="19"/>
      <c r="L186" s="19"/>
      <c r="M186" s="19"/>
      <c r="N186" s="20"/>
      <c r="O186" s="20"/>
      <c r="P186" s="20"/>
      <c r="Q186" s="19"/>
    </row>
    <row r="187" spans="1:17" ht="12.75">
      <c r="A187" s="19"/>
      <c r="B187" s="19"/>
      <c r="C187" s="19"/>
      <c r="D187" s="19"/>
      <c r="E187" s="19"/>
      <c r="F187" s="19"/>
      <c r="G187" s="19"/>
      <c r="H187" s="19"/>
      <c r="I187" s="19"/>
      <c r="J187" s="19"/>
      <c r="K187" s="19"/>
      <c r="L187" s="19"/>
      <c r="M187" s="19"/>
      <c r="N187" s="20"/>
      <c r="O187" s="20"/>
      <c r="P187" s="20"/>
      <c r="Q187" s="19"/>
    </row>
    <row r="188" spans="1:17" ht="12.75">
      <c r="A188" s="19"/>
      <c r="B188" s="19"/>
      <c r="C188" s="19"/>
      <c r="D188" s="19"/>
      <c r="E188" s="19"/>
      <c r="F188" s="19"/>
      <c r="G188" s="19"/>
      <c r="H188" s="19"/>
      <c r="I188" s="19"/>
      <c r="J188" s="19"/>
      <c r="K188" s="19"/>
      <c r="L188" s="19"/>
      <c r="M188" s="19"/>
      <c r="N188" s="20"/>
      <c r="O188" s="20"/>
      <c r="P188" s="20"/>
      <c r="Q188" s="19"/>
    </row>
    <row r="189" spans="1:17" ht="12.75">
      <c r="A189" s="19"/>
      <c r="B189" s="19"/>
      <c r="C189" s="19"/>
      <c r="D189" s="19"/>
      <c r="E189" s="19"/>
      <c r="F189" s="19"/>
      <c r="G189" s="19"/>
      <c r="H189" s="19"/>
      <c r="I189" s="19"/>
      <c r="J189" s="19"/>
      <c r="K189" s="19"/>
      <c r="L189" s="19"/>
      <c r="M189" s="19"/>
      <c r="N189" s="20"/>
      <c r="O189" s="20"/>
      <c r="P189" s="20"/>
      <c r="Q189" s="19"/>
    </row>
    <row r="190" spans="1:17" ht="13.5" hidden="1" thickTop="1">
      <c r="A190" s="19"/>
      <c r="B190" s="19"/>
      <c r="C190" s="19"/>
      <c r="D190" s="19"/>
      <c r="E190" s="19"/>
      <c r="F190" s="19"/>
      <c r="G190" s="19"/>
      <c r="H190" s="19"/>
      <c r="I190" s="19"/>
      <c r="J190" s="19"/>
      <c r="K190" s="19"/>
      <c r="L190" s="19"/>
      <c r="M190" s="42" t="s">
        <v>76</v>
      </c>
      <c r="N190" s="43"/>
      <c r="O190" s="43"/>
      <c r="P190" s="43"/>
      <c r="Q190" s="44"/>
    </row>
    <row r="191" spans="1:17" ht="12.75" hidden="1">
      <c r="A191" s="19"/>
      <c r="B191" s="19"/>
      <c r="C191" s="19"/>
      <c r="D191" s="19"/>
      <c r="E191" s="19"/>
      <c r="F191" s="19"/>
      <c r="G191" s="19"/>
      <c r="H191" s="19"/>
      <c r="I191" s="19"/>
      <c r="J191" s="19"/>
      <c r="K191" s="19"/>
      <c r="L191" s="19"/>
      <c r="M191" s="45"/>
      <c r="N191" s="46"/>
      <c r="O191" s="46"/>
      <c r="P191" s="46"/>
      <c r="Q191" s="47"/>
    </row>
    <row r="192" spans="1:17" ht="12.75" hidden="1">
      <c r="A192" s="19"/>
      <c r="B192" s="19"/>
      <c r="C192" s="19"/>
      <c r="D192" s="19"/>
      <c r="E192" s="19"/>
      <c r="F192" s="19"/>
      <c r="G192" s="19"/>
      <c r="H192" s="19"/>
      <c r="I192" s="19"/>
      <c r="J192" s="19"/>
      <c r="K192" s="19"/>
      <c r="L192" s="19"/>
      <c r="M192" s="45">
        <v>1</v>
      </c>
      <c r="N192" s="46" t="s">
        <v>77</v>
      </c>
      <c r="O192" s="46">
        <f>IF(ISNA(MATCH(PROPER(LEFT(E8,3)),Q192:Q203,0)),1,MATCH(PROPER(LEFT(E8,3)),Q192:Q203,0))</f>
        <v>1</v>
      </c>
      <c r="P192" s="46"/>
      <c r="Q192" s="47" t="s">
        <v>77</v>
      </c>
    </row>
    <row r="193" spans="1:17" ht="12.75" hidden="1">
      <c r="A193" s="19"/>
      <c r="B193" s="19"/>
      <c r="C193" s="19"/>
      <c r="D193" s="19"/>
      <c r="E193" s="19"/>
      <c r="F193" s="19"/>
      <c r="G193" s="19"/>
      <c r="H193" s="19"/>
      <c r="I193" s="19"/>
      <c r="J193" s="19"/>
      <c r="K193" s="19"/>
      <c r="L193" s="19"/>
      <c r="M193" s="45">
        <v>2</v>
      </c>
      <c r="N193" s="46" t="s">
        <v>78</v>
      </c>
      <c r="O193" s="46">
        <f aca="true" t="shared" si="12" ref="O193:O203">IF(O192=12,1,O192+1)</f>
        <v>2</v>
      </c>
      <c r="P193" s="46"/>
      <c r="Q193" s="47" t="s">
        <v>78</v>
      </c>
    </row>
    <row r="194" spans="1:17" ht="12.75" hidden="1">
      <c r="A194" s="19"/>
      <c r="B194" s="19"/>
      <c r="C194" s="19"/>
      <c r="D194" s="19"/>
      <c r="E194" s="19"/>
      <c r="F194" s="19"/>
      <c r="G194" s="19"/>
      <c r="H194" s="19"/>
      <c r="I194" s="19"/>
      <c r="J194" s="19"/>
      <c r="K194" s="19"/>
      <c r="L194" s="19"/>
      <c r="M194" s="45">
        <v>3</v>
      </c>
      <c r="N194" s="46" t="s">
        <v>79</v>
      </c>
      <c r="O194" s="46">
        <f t="shared" si="12"/>
        <v>3</v>
      </c>
      <c r="P194" s="46"/>
      <c r="Q194" s="47" t="s">
        <v>79</v>
      </c>
    </row>
    <row r="195" spans="1:17" ht="12.75" hidden="1">
      <c r="A195" s="19"/>
      <c r="B195" s="19"/>
      <c r="C195" s="19"/>
      <c r="D195" s="19"/>
      <c r="E195" s="19"/>
      <c r="F195" s="19"/>
      <c r="G195" s="19"/>
      <c r="H195" s="19"/>
      <c r="I195" s="19"/>
      <c r="J195" s="19"/>
      <c r="K195" s="19"/>
      <c r="L195" s="19"/>
      <c r="M195" s="45">
        <v>4</v>
      </c>
      <c r="N195" s="46" t="s">
        <v>80</v>
      </c>
      <c r="O195" s="46">
        <f t="shared" si="12"/>
        <v>4</v>
      </c>
      <c r="P195" s="46"/>
      <c r="Q195" s="47" t="s">
        <v>80</v>
      </c>
    </row>
    <row r="196" spans="1:17" ht="12.75" hidden="1">
      <c r="A196" s="19"/>
      <c r="B196" s="19"/>
      <c r="C196" s="19"/>
      <c r="D196" s="19"/>
      <c r="E196" s="19"/>
      <c r="F196" s="19"/>
      <c r="G196" s="19"/>
      <c r="H196" s="19"/>
      <c r="I196" s="19"/>
      <c r="J196" s="19"/>
      <c r="K196" s="19"/>
      <c r="L196" s="19"/>
      <c r="M196" s="45">
        <v>5</v>
      </c>
      <c r="N196" s="46" t="s">
        <v>81</v>
      </c>
      <c r="O196" s="46">
        <f t="shared" si="12"/>
        <v>5</v>
      </c>
      <c r="P196" s="46"/>
      <c r="Q196" s="47" t="s">
        <v>81</v>
      </c>
    </row>
    <row r="197" spans="1:17" ht="12.75" hidden="1">
      <c r="A197" s="19"/>
      <c r="B197" s="19"/>
      <c r="C197" s="19"/>
      <c r="D197" s="19"/>
      <c r="E197" s="19"/>
      <c r="F197" s="19"/>
      <c r="G197" s="19"/>
      <c r="H197" s="19"/>
      <c r="I197" s="19"/>
      <c r="J197" s="19"/>
      <c r="K197" s="19"/>
      <c r="L197" s="19"/>
      <c r="M197" s="45">
        <v>6</v>
      </c>
      <c r="N197" s="46" t="s">
        <v>82</v>
      </c>
      <c r="O197" s="46">
        <f t="shared" si="12"/>
        <v>6</v>
      </c>
      <c r="P197" s="46"/>
      <c r="Q197" s="47" t="s">
        <v>82</v>
      </c>
    </row>
    <row r="198" spans="1:17" ht="12.75" hidden="1">
      <c r="A198" s="19"/>
      <c r="B198" s="19"/>
      <c r="C198" s="19"/>
      <c r="D198" s="19"/>
      <c r="E198" s="19"/>
      <c r="F198" s="19"/>
      <c r="G198" s="19"/>
      <c r="H198" s="19"/>
      <c r="I198" s="19"/>
      <c r="J198" s="19"/>
      <c r="K198" s="19"/>
      <c r="L198" s="19"/>
      <c r="M198" s="45">
        <v>7</v>
      </c>
      <c r="N198" s="46" t="s">
        <v>83</v>
      </c>
      <c r="O198" s="46">
        <f t="shared" si="12"/>
        <v>7</v>
      </c>
      <c r="P198" s="46"/>
      <c r="Q198" s="47" t="s">
        <v>83</v>
      </c>
    </row>
    <row r="199" spans="1:17" ht="12.75" hidden="1">
      <c r="A199" s="19"/>
      <c r="B199" s="19"/>
      <c r="C199" s="19"/>
      <c r="D199" s="19"/>
      <c r="E199" s="19"/>
      <c r="F199" s="19"/>
      <c r="G199" s="19"/>
      <c r="H199" s="19"/>
      <c r="I199" s="19"/>
      <c r="J199" s="19"/>
      <c r="K199" s="19"/>
      <c r="L199" s="19"/>
      <c r="M199" s="45">
        <v>8</v>
      </c>
      <c r="N199" s="46" t="s">
        <v>84</v>
      </c>
      <c r="O199" s="46">
        <f t="shared" si="12"/>
        <v>8</v>
      </c>
      <c r="P199" s="46"/>
      <c r="Q199" s="47" t="s">
        <v>84</v>
      </c>
    </row>
    <row r="200" spans="1:17" ht="12.75" hidden="1">
      <c r="A200" s="19"/>
      <c r="B200" s="19"/>
      <c r="C200" s="19"/>
      <c r="D200" s="19"/>
      <c r="E200" s="19"/>
      <c r="F200" s="19"/>
      <c r="G200" s="19"/>
      <c r="H200" s="19"/>
      <c r="I200" s="19"/>
      <c r="J200" s="19"/>
      <c r="K200" s="19"/>
      <c r="L200" s="19"/>
      <c r="M200" s="45">
        <v>9</v>
      </c>
      <c r="N200" s="46" t="s">
        <v>85</v>
      </c>
      <c r="O200" s="46">
        <f t="shared" si="12"/>
        <v>9</v>
      </c>
      <c r="P200" s="46"/>
      <c r="Q200" s="47" t="s">
        <v>85</v>
      </c>
    </row>
    <row r="201" spans="1:17" ht="12.75" hidden="1">
      <c r="A201" s="19"/>
      <c r="B201" s="19"/>
      <c r="C201" s="19"/>
      <c r="D201" s="19"/>
      <c r="E201" s="19"/>
      <c r="F201" s="19"/>
      <c r="G201" s="19"/>
      <c r="H201" s="19"/>
      <c r="I201" s="19"/>
      <c r="J201" s="19"/>
      <c r="K201" s="19"/>
      <c r="L201" s="19"/>
      <c r="M201" s="45">
        <v>10</v>
      </c>
      <c r="N201" s="46" t="s">
        <v>86</v>
      </c>
      <c r="O201" s="46">
        <f t="shared" si="12"/>
        <v>10</v>
      </c>
      <c r="P201" s="46"/>
      <c r="Q201" s="47" t="s">
        <v>86</v>
      </c>
    </row>
    <row r="202" spans="1:17" ht="12.75" hidden="1">
      <c r="A202" s="19"/>
      <c r="B202" s="19"/>
      <c r="C202" s="19"/>
      <c r="D202" s="19"/>
      <c r="E202" s="19"/>
      <c r="F202" s="19"/>
      <c r="G202" s="19"/>
      <c r="H202" s="19"/>
      <c r="I202" s="19"/>
      <c r="J202" s="19"/>
      <c r="K202" s="19"/>
      <c r="L202" s="19"/>
      <c r="M202" s="45">
        <v>11</v>
      </c>
      <c r="N202" s="46" t="s">
        <v>87</v>
      </c>
      <c r="O202" s="46">
        <f t="shared" si="12"/>
        <v>11</v>
      </c>
      <c r="P202" s="46"/>
      <c r="Q202" s="47" t="s">
        <v>87</v>
      </c>
    </row>
    <row r="203" spans="1:17" ht="12.75" hidden="1">
      <c r="A203" s="19"/>
      <c r="B203" s="19"/>
      <c r="C203" s="19"/>
      <c r="D203" s="19"/>
      <c r="E203" s="19"/>
      <c r="F203" s="19"/>
      <c r="G203" s="19"/>
      <c r="H203" s="19"/>
      <c r="I203" s="19"/>
      <c r="J203" s="19"/>
      <c r="K203" s="19"/>
      <c r="L203" s="19"/>
      <c r="M203" s="45">
        <v>12</v>
      </c>
      <c r="N203" s="46" t="s">
        <v>88</v>
      </c>
      <c r="O203" s="46">
        <f t="shared" si="12"/>
        <v>12</v>
      </c>
      <c r="P203" s="46"/>
      <c r="Q203" s="47" t="s">
        <v>88</v>
      </c>
    </row>
    <row r="204" spans="1:17" ht="12.75" hidden="1">
      <c r="A204" s="19"/>
      <c r="B204" s="19"/>
      <c r="C204" s="19"/>
      <c r="D204" s="19"/>
      <c r="E204" s="19"/>
      <c r="F204" s="19"/>
      <c r="G204" s="19"/>
      <c r="H204" s="19"/>
      <c r="I204" s="19"/>
      <c r="J204" s="19"/>
      <c r="K204" s="19"/>
      <c r="L204" s="19"/>
      <c r="M204" s="45"/>
      <c r="N204" s="46"/>
      <c r="O204" s="46"/>
      <c r="P204" s="46"/>
      <c r="Q204" s="47"/>
    </row>
    <row r="205" spans="1:17" ht="12.75" hidden="1">
      <c r="A205" s="19"/>
      <c r="B205" s="19"/>
      <c r="C205" s="19"/>
      <c r="D205" s="19"/>
      <c r="E205" s="19"/>
      <c r="F205" s="19"/>
      <c r="G205" s="19"/>
      <c r="H205" s="19"/>
      <c r="I205" s="19"/>
      <c r="J205" s="19"/>
      <c r="K205" s="19"/>
      <c r="L205" s="19"/>
      <c r="M205" s="48">
        <f>IF(C12="Jan",24,MATCH("Jan",C12:C23,0)+11)</f>
        <v>24</v>
      </c>
      <c r="N205" s="46">
        <f>Q208-M205</f>
        <v>336</v>
      </c>
      <c r="O205" s="46"/>
      <c r="P205" s="46"/>
      <c r="Q205" s="47"/>
    </row>
    <row r="206" spans="1:17" ht="12.75" hidden="1">
      <c r="A206" s="19"/>
      <c r="B206" s="19"/>
      <c r="C206" s="19"/>
      <c r="D206" s="19"/>
      <c r="E206" s="19"/>
      <c r="F206" s="19"/>
      <c r="G206" s="19"/>
      <c r="H206" s="19"/>
      <c r="I206" s="19"/>
      <c r="J206" s="19"/>
      <c r="K206" s="19"/>
      <c r="L206" s="19"/>
      <c r="M206" s="45">
        <f aca="true" t="shared" si="13" ref="M206:M234">MIN(Q$208,M205+12)</f>
        <v>36</v>
      </c>
      <c r="N206" s="46">
        <f>Q208-M206</f>
        <v>324</v>
      </c>
      <c r="O206" s="46"/>
      <c r="P206" s="46"/>
      <c r="Q206" s="47"/>
    </row>
    <row r="207" spans="1:17" ht="12.75" hidden="1">
      <c r="A207" s="19"/>
      <c r="B207" s="19"/>
      <c r="C207" s="19"/>
      <c r="D207" s="19"/>
      <c r="E207" s="19"/>
      <c r="F207" s="19"/>
      <c r="G207" s="19"/>
      <c r="H207" s="19"/>
      <c r="I207" s="19"/>
      <c r="J207" s="19"/>
      <c r="K207" s="19"/>
      <c r="L207" s="19"/>
      <c r="M207" s="45">
        <f t="shared" si="13"/>
        <v>48</v>
      </c>
      <c r="N207" s="46">
        <f>Q208-M207</f>
        <v>312</v>
      </c>
      <c r="O207" s="46"/>
      <c r="P207" s="46"/>
      <c r="Q207" s="47"/>
    </row>
    <row r="208" spans="1:17" ht="12.75" hidden="1">
      <c r="A208" s="19"/>
      <c r="B208" s="19"/>
      <c r="C208" s="19"/>
      <c r="D208" s="19"/>
      <c r="E208" s="19"/>
      <c r="F208" s="19"/>
      <c r="G208" s="19"/>
      <c r="H208" s="19"/>
      <c r="I208" s="19"/>
      <c r="J208" s="19"/>
      <c r="K208" s="19"/>
      <c r="L208" s="19"/>
      <c r="M208" s="45">
        <f t="shared" si="13"/>
        <v>60</v>
      </c>
      <c r="N208" s="46">
        <f>Q208-M208</f>
        <v>300</v>
      </c>
      <c r="O208" s="46"/>
      <c r="P208" s="46" t="s">
        <v>89</v>
      </c>
      <c r="Q208" s="47">
        <f>E6*12</f>
        <v>360</v>
      </c>
    </row>
    <row r="209" spans="1:17" ht="12.75" hidden="1">
      <c r="A209" s="19"/>
      <c r="B209" s="19"/>
      <c r="C209" s="19"/>
      <c r="D209" s="19"/>
      <c r="E209" s="19"/>
      <c r="F209" s="19"/>
      <c r="G209" s="19"/>
      <c r="H209" s="19"/>
      <c r="I209" s="19"/>
      <c r="J209" s="19"/>
      <c r="K209" s="19"/>
      <c r="L209" s="19"/>
      <c r="M209" s="45">
        <f t="shared" si="13"/>
        <v>72</v>
      </c>
      <c r="N209" s="46">
        <f>Q208-M209</f>
        <v>288</v>
      </c>
      <c r="O209" s="46"/>
      <c r="P209" s="46" t="s">
        <v>90</v>
      </c>
      <c r="Q209" s="49">
        <f>E7</f>
        <v>1</v>
      </c>
    </row>
    <row r="210" spans="1:17" ht="12.75" hidden="1">
      <c r="A210" s="19"/>
      <c r="B210" s="19"/>
      <c r="C210" s="19"/>
      <c r="D210" s="19"/>
      <c r="E210" s="19"/>
      <c r="F210" s="19"/>
      <c r="G210" s="19"/>
      <c r="H210" s="19"/>
      <c r="I210" s="19"/>
      <c r="J210" s="19"/>
      <c r="K210" s="19"/>
      <c r="L210" s="19"/>
      <c r="M210" s="45">
        <f t="shared" si="13"/>
        <v>84</v>
      </c>
      <c r="N210" s="46">
        <f>Q208-M210</f>
        <v>276</v>
      </c>
      <c r="O210" s="46"/>
      <c r="P210" s="46" t="s">
        <v>52</v>
      </c>
      <c r="Q210" s="47">
        <f>Q208/12</f>
        <v>30</v>
      </c>
    </row>
    <row r="211" spans="1:17" ht="12.75" hidden="1">
      <c r="A211" s="19"/>
      <c r="B211" s="19"/>
      <c r="C211" s="19"/>
      <c r="D211" s="19"/>
      <c r="E211" s="19"/>
      <c r="F211" s="19"/>
      <c r="G211" s="19"/>
      <c r="H211" s="19"/>
      <c r="I211" s="19"/>
      <c r="J211" s="19"/>
      <c r="K211" s="19"/>
      <c r="L211" s="19"/>
      <c r="M211" s="45">
        <f t="shared" si="13"/>
        <v>96</v>
      </c>
      <c r="N211" s="46">
        <f>Q208-M211</f>
        <v>264</v>
      </c>
      <c r="O211" s="46"/>
      <c r="P211" s="46" t="s">
        <v>91</v>
      </c>
      <c r="Q211" s="49">
        <f>IF(E7,Q210+Q209-IF(PROPER(LEFT(C12,3))="Jan",1,0),"")</f>
        <v>30</v>
      </c>
    </row>
    <row r="212" spans="1:17" ht="12.75" hidden="1">
      <c r="A212" s="19"/>
      <c r="B212" s="19"/>
      <c r="C212" s="19"/>
      <c r="D212" s="19"/>
      <c r="E212" s="19"/>
      <c r="F212" s="19"/>
      <c r="G212" s="19"/>
      <c r="H212" s="19"/>
      <c r="I212" s="19"/>
      <c r="J212" s="19"/>
      <c r="K212" s="19"/>
      <c r="L212" s="19"/>
      <c r="M212" s="45">
        <f t="shared" si="13"/>
        <v>108</v>
      </c>
      <c r="N212" s="46">
        <f>Q208-M212</f>
        <v>252</v>
      </c>
      <c r="O212" s="46"/>
      <c r="P212" s="46" t="s">
        <v>92</v>
      </c>
      <c r="Q212" s="47">
        <f>O203</f>
        <v>12</v>
      </c>
    </row>
    <row r="213" spans="1:17" ht="12.75" hidden="1">
      <c r="A213" s="19"/>
      <c r="B213" s="19"/>
      <c r="C213" s="19"/>
      <c r="D213" s="19"/>
      <c r="E213" s="19"/>
      <c r="F213" s="19"/>
      <c r="G213" s="19"/>
      <c r="H213" s="19"/>
      <c r="I213" s="19"/>
      <c r="J213" s="19"/>
      <c r="K213" s="19"/>
      <c r="L213" s="19"/>
      <c r="M213" s="45">
        <f t="shared" si="13"/>
        <v>120</v>
      </c>
      <c r="N213" s="46">
        <f>Q208-M213</f>
        <v>240</v>
      </c>
      <c r="O213" s="46"/>
      <c r="P213" s="46"/>
      <c r="Q213" s="47"/>
    </row>
    <row r="214" spans="1:17" ht="12.75" hidden="1">
      <c r="A214" s="19"/>
      <c r="B214" s="19"/>
      <c r="C214" s="19"/>
      <c r="D214" s="19"/>
      <c r="E214" s="19"/>
      <c r="F214" s="19"/>
      <c r="G214" s="19"/>
      <c r="H214" s="19"/>
      <c r="I214" s="19"/>
      <c r="J214" s="19"/>
      <c r="K214" s="19"/>
      <c r="L214" s="19"/>
      <c r="M214" s="45">
        <f t="shared" si="13"/>
        <v>132</v>
      </c>
      <c r="N214" s="46">
        <f>Q208-M214</f>
        <v>228</v>
      </c>
      <c r="O214" s="46"/>
      <c r="P214" s="46"/>
      <c r="Q214" s="47"/>
    </row>
    <row r="215" spans="1:17" ht="12.75" hidden="1">
      <c r="A215" s="19"/>
      <c r="B215" s="19"/>
      <c r="C215" s="19"/>
      <c r="D215" s="19"/>
      <c r="E215" s="19"/>
      <c r="F215" s="19"/>
      <c r="G215" s="19"/>
      <c r="H215" s="19"/>
      <c r="I215" s="19"/>
      <c r="J215" s="19"/>
      <c r="K215" s="19"/>
      <c r="L215" s="19"/>
      <c r="M215" s="45">
        <f t="shared" si="13"/>
        <v>144</v>
      </c>
      <c r="N215" s="46">
        <f>Q208-M215</f>
        <v>216</v>
      </c>
      <c r="O215" s="46"/>
      <c r="P215" s="46"/>
      <c r="Q215" s="47"/>
    </row>
    <row r="216" spans="1:17" ht="12.75" hidden="1">
      <c r="A216" s="19"/>
      <c r="B216" s="19"/>
      <c r="C216" s="19"/>
      <c r="D216" s="19"/>
      <c r="E216" s="19"/>
      <c r="F216" s="19"/>
      <c r="G216" s="19"/>
      <c r="H216" s="19"/>
      <c r="I216" s="19"/>
      <c r="J216" s="19"/>
      <c r="K216" s="19"/>
      <c r="L216" s="19"/>
      <c r="M216" s="45">
        <f t="shared" si="13"/>
        <v>156</v>
      </c>
      <c r="N216" s="46">
        <f>Q208-M216</f>
        <v>204</v>
      </c>
      <c r="O216" s="46"/>
      <c r="P216" s="46"/>
      <c r="Q216" s="47"/>
    </row>
    <row r="217" spans="1:17" ht="12.75" hidden="1">
      <c r="A217" s="19"/>
      <c r="B217" s="19"/>
      <c r="C217" s="19"/>
      <c r="D217" s="19"/>
      <c r="E217" s="19"/>
      <c r="F217" s="19"/>
      <c r="G217" s="19"/>
      <c r="H217" s="19"/>
      <c r="I217" s="19"/>
      <c r="J217" s="19"/>
      <c r="K217" s="19"/>
      <c r="L217" s="19"/>
      <c r="M217" s="45">
        <f t="shared" si="13"/>
        <v>168</v>
      </c>
      <c r="N217" s="46">
        <f>Q208-M217</f>
        <v>192</v>
      </c>
      <c r="O217" s="46"/>
      <c r="P217" s="46"/>
      <c r="Q217" s="47"/>
    </row>
    <row r="218" spans="1:17" ht="12.75" hidden="1">
      <c r="A218" s="19"/>
      <c r="B218" s="19"/>
      <c r="C218" s="19"/>
      <c r="D218" s="19"/>
      <c r="E218" s="19"/>
      <c r="F218" s="19"/>
      <c r="G218" s="19"/>
      <c r="H218" s="19"/>
      <c r="I218" s="19"/>
      <c r="J218" s="19"/>
      <c r="K218" s="19"/>
      <c r="L218" s="19"/>
      <c r="M218" s="45">
        <f t="shared" si="13"/>
        <v>180</v>
      </c>
      <c r="N218" s="46">
        <f>Q208-M218</f>
        <v>180</v>
      </c>
      <c r="O218" s="46"/>
      <c r="P218" s="46"/>
      <c r="Q218" s="47"/>
    </row>
    <row r="219" spans="1:17" ht="12.75" hidden="1">
      <c r="A219" s="19"/>
      <c r="B219" s="19"/>
      <c r="C219" s="19"/>
      <c r="D219" s="19"/>
      <c r="E219" s="19"/>
      <c r="F219" s="19"/>
      <c r="G219" s="19"/>
      <c r="H219" s="19"/>
      <c r="I219" s="19"/>
      <c r="J219" s="19"/>
      <c r="K219" s="19"/>
      <c r="L219" s="19"/>
      <c r="M219" s="45">
        <f t="shared" si="13"/>
        <v>192</v>
      </c>
      <c r="N219" s="46">
        <f>Q208-M219</f>
        <v>168</v>
      </c>
      <c r="O219" s="46"/>
      <c r="P219" s="46"/>
      <c r="Q219" s="47"/>
    </row>
    <row r="220" spans="1:17" ht="12.75" hidden="1">
      <c r="A220" s="19"/>
      <c r="B220" s="19"/>
      <c r="C220" s="19"/>
      <c r="D220" s="19"/>
      <c r="E220" s="19"/>
      <c r="F220" s="19"/>
      <c r="G220" s="19"/>
      <c r="H220" s="19"/>
      <c r="I220" s="19"/>
      <c r="J220" s="19"/>
      <c r="K220" s="19"/>
      <c r="L220" s="19"/>
      <c r="M220" s="45">
        <f t="shared" si="13"/>
        <v>204</v>
      </c>
      <c r="N220" s="46">
        <f>Q208-M220</f>
        <v>156</v>
      </c>
      <c r="O220" s="46"/>
      <c r="P220" s="46"/>
      <c r="Q220" s="47"/>
    </row>
    <row r="221" spans="1:17" ht="12.75" hidden="1">
      <c r="A221" s="19"/>
      <c r="B221" s="19"/>
      <c r="C221" s="19"/>
      <c r="D221" s="19"/>
      <c r="E221" s="19"/>
      <c r="F221" s="19"/>
      <c r="G221" s="19"/>
      <c r="H221" s="19"/>
      <c r="I221" s="19"/>
      <c r="J221" s="19"/>
      <c r="K221" s="19"/>
      <c r="L221" s="19"/>
      <c r="M221" s="45">
        <f t="shared" si="13"/>
        <v>216</v>
      </c>
      <c r="N221" s="46">
        <f>Q208-M221</f>
        <v>144</v>
      </c>
      <c r="O221" s="46"/>
      <c r="P221" s="46"/>
      <c r="Q221" s="47"/>
    </row>
    <row r="222" spans="1:17" ht="12.75" hidden="1">
      <c r="A222" s="19"/>
      <c r="B222" s="19"/>
      <c r="C222" s="19"/>
      <c r="D222" s="19"/>
      <c r="E222" s="19"/>
      <c r="F222" s="19"/>
      <c r="G222" s="19"/>
      <c r="H222" s="19"/>
      <c r="I222" s="19"/>
      <c r="J222" s="19"/>
      <c r="K222" s="19"/>
      <c r="L222" s="19"/>
      <c r="M222" s="45">
        <f t="shared" si="13"/>
        <v>228</v>
      </c>
      <c r="N222" s="46">
        <f>Q208-M222</f>
        <v>132</v>
      </c>
      <c r="O222" s="46"/>
      <c r="P222" s="46"/>
      <c r="Q222" s="47"/>
    </row>
    <row r="223" spans="1:17" ht="12.75" hidden="1">
      <c r="A223" s="19"/>
      <c r="B223" s="19"/>
      <c r="C223" s="19"/>
      <c r="D223" s="19"/>
      <c r="E223" s="19"/>
      <c r="F223" s="19"/>
      <c r="G223" s="19"/>
      <c r="H223" s="19"/>
      <c r="I223" s="19"/>
      <c r="J223" s="19"/>
      <c r="K223" s="19"/>
      <c r="L223" s="19"/>
      <c r="M223" s="45">
        <f t="shared" si="13"/>
        <v>240</v>
      </c>
      <c r="N223" s="46">
        <f>Q208-M223</f>
        <v>120</v>
      </c>
      <c r="O223" s="46"/>
      <c r="P223" s="46"/>
      <c r="Q223" s="47"/>
    </row>
    <row r="224" spans="1:17" ht="12.75" hidden="1">
      <c r="A224" s="19"/>
      <c r="B224" s="19"/>
      <c r="C224" s="19"/>
      <c r="D224" s="19"/>
      <c r="E224" s="19"/>
      <c r="F224" s="19"/>
      <c r="G224" s="19"/>
      <c r="H224" s="19"/>
      <c r="I224" s="19"/>
      <c r="J224" s="19"/>
      <c r="K224" s="19"/>
      <c r="L224" s="19"/>
      <c r="M224" s="45">
        <f t="shared" si="13"/>
        <v>252</v>
      </c>
      <c r="N224" s="46">
        <f>Q208-M224</f>
        <v>108</v>
      </c>
      <c r="O224" s="46"/>
      <c r="P224" s="46"/>
      <c r="Q224" s="47"/>
    </row>
    <row r="225" spans="1:17" ht="12.75" hidden="1">
      <c r="A225" s="19"/>
      <c r="B225" s="19"/>
      <c r="C225" s="19"/>
      <c r="D225" s="19"/>
      <c r="E225" s="19"/>
      <c r="F225" s="19"/>
      <c r="G225" s="19"/>
      <c r="H225" s="19"/>
      <c r="I225" s="19"/>
      <c r="J225" s="19"/>
      <c r="K225" s="19"/>
      <c r="L225" s="19"/>
      <c r="M225" s="45">
        <f t="shared" si="13"/>
        <v>264</v>
      </c>
      <c r="N225" s="46">
        <f>Q208-M225</f>
        <v>96</v>
      </c>
      <c r="O225" s="46"/>
      <c r="P225" s="46"/>
      <c r="Q225" s="47"/>
    </row>
    <row r="226" spans="1:17" ht="12.75" hidden="1">
      <c r="A226" s="19"/>
      <c r="B226" s="19"/>
      <c r="C226" s="19"/>
      <c r="D226" s="19"/>
      <c r="E226" s="19"/>
      <c r="F226" s="19"/>
      <c r="G226" s="19"/>
      <c r="H226" s="19"/>
      <c r="I226" s="19"/>
      <c r="J226" s="19"/>
      <c r="K226" s="19"/>
      <c r="L226" s="19"/>
      <c r="M226" s="45">
        <f t="shared" si="13"/>
        <v>276</v>
      </c>
      <c r="N226" s="46">
        <f>Q208-M226</f>
        <v>84</v>
      </c>
      <c r="O226" s="46"/>
      <c r="P226" s="46"/>
      <c r="Q226" s="47"/>
    </row>
    <row r="227" spans="1:17" ht="12.75" hidden="1">
      <c r="A227" s="19"/>
      <c r="B227" s="19"/>
      <c r="C227" s="19"/>
      <c r="D227" s="19"/>
      <c r="E227" s="19"/>
      <c r="F227" s="19"/>
      <c r="G227" s="19"/>
      <c r="H227" s="19"/>
      <c r="I227" s="19"/>
      <c r="J227" s="19"/>
      <c r="K227" s="19"/>
      <c r="L227" s="19"/>
      <c r="M227" s="45">
        <f t="shared" si="13"/>
        <v>288</v>
      </c>
      <c r="N227" s="46">
        <f>Q208-M227</f>
        <v>72</v>
      </c>
      <c r="O227" s="46"/>
      <c r="P227" s="46"/>
      <c r="Q227" s="47"/>
    </row>
    <row r="228" spans="1:17" ht="12.75" hidden="1">
      <c r="A228" s="19"/>
      <c r="B228" s="19"/>
      <c r="C228" s="19"/>
      <c r="D228" s="19"/>
      <c r="E228" s="19"/>
      <c r="F228" s="19"/>
      <c r="G228" s="19"/>
      <c r="H228" s="19"/>
      <c r="I228" s="19"/>
      <c r="J228" s="19"/>
      <c r="K228" s="19"/>
      <c r="L228" s="19"/>
      <c r="M228" s="45">
        <f t="shared" si="13"/>
        <v>300</v>
      </c>
      <c r="N228" s="46">
        <f>Q208-M228</f>
        <v>60</v>
      </c>
      <c r="O228" s="46"/>
      <c r="P228" s="46"/>
      <c r="Q228" s="47"/>
    </row>
    <row r="229" spans="1:17" ht="12.75" hidden="1">
      <c r="A229" s="19"/>
      <c r="B229" s="19"/>
      <c r="C229" s="19"/>
      <c r="D229" s="19"/>
      <c r="E229" s="19"/>
      <c r="F229" s="19"/>
      <c r="G229" s="19"/>
      <c r="H229" s="19"/>
      <c r="I229" s="19"/>
      <c r="J229" s="19"/>
      <c r="K229" s="19"/>
      <c r="L229" s="19"/>
      <c r="M229" s="45">
        <f t="shared" si="13"/>
        <v>312</v>
      </c>
      <c r="N229" s="46">
        <f>Q208-M229</f>
        <v>48</v>
      </c>
      <c r="O229" s="46"/>
      <c r="P229" s="46"/>
      <c r="Q229" s="47"/>
    </row>
    <row r="230" spans="1:17" ht="12.75" hidden="1">
      <c r="A230" s="19"/>
      <c r="B230" s="19"/>
      <c r="C230" s="19"/>
      <c r="D230" s="19"/>
      <c r="E230" s="19"/>
      <c r="F230" s="19"/>
      <c r="G230" s="19"/>
      <c r="H230" s="19"/>
      <c r="I230" s="19"/>
      <c r="J230" s="19"/>
      <c r="K230" s="19"/>
      <c r="L230" s="19"/>
      <c r="M230" s="45">
        <f t="shared" si="13"/>
        <v>324</v>
      </c>
      <c r="N230" s="46">
        <f>Q208-M230</f>
        <v>36</v>
      </c>
      <c r="O230" s="46"/>
      <c r="P230" s="46"/>
      <c r="Q230" s="47"/>
    </row>
    <row r="231" spans="1:17" ht="12.75" hidden="1">
      <c r="A231" s="19"/>
      <c r="B231" s="19"/>
      <c r="C231" s="19"/>
      <c r="D231" s="19"/>
      <c r="E231" s="19"/>
      <c r="F231" s="19"/>
      <c r="G231" s="19"/>
      <c r="H231" s="19"/>
      <c r="I231" s="19"/>
      <c r="J231" s="19"/>
      <c r="K231" s="19"/>
      <c r="L231" s="19"/>
      <c r="M231" s="45">
        <f t="shared" si="13"/>
        <v>336</v>
      </c>
      <c r="N231" s="46">
        <f>Q208-M231</f>
        <v>24</v>
      </c>
      <c r="O231" s="46"/>
      <c r="P231" s="46"/>
      <c r="Q231" s="47"/>
    </row>
    <row r="232" spans="1:17" ht="12.75" hidden="1">
      <c r="A232" s="19"/>
      <c r="B232" s="19"/>
      <c r="C232" s="19"/>
      <c r="D232" s="19"/>
      <c r="E232" s="19"/>
      <c r="F232" s="19"/>
      <c r="G232" s="19"/>
      <c r="H232" s="19"/>
      <c r="I232" s="19"/>
      <c r="J232" s="19"/>
      <c r="K232" s="19"/>
      <c r="L232" s="19"/>
      <c r="M232" s="45">
        <f t="shared" si="13"/>
        <v>348</v>
      </c>
      <c r="N232" s="46">
        <f>Q208-M232</f>
        <v>12</v>
      </c>
      <c r="O232" s="46"/>
      <c r="P232" s="46"/>
      <c r="Q232" s="47"/>
    </row>
    <row r="233" spans="1:17" ht="12.75" hidden="1">
      <c r="A233" s="19"/>
      <c r="B233" s="19"/>
      <c r="C233" s="19"/>
      <c r="D233" s="19"/>
      <c r="E233" s="19"/>
      <c r="F233" s="19"/>
      <c r="G233" s="19"/>
      <c r="H233" s="19"/>
      <c r="I233" s="19"/>
      <c r="J233" s="19"/>
      <c r="K233" s="19"/>
      <c r="L233" s="19"/>
      <c r="M233" s="45">
        <f t="shared" si="13"/>
        <v>360</v>
      </c>
      <c r="N233" s="46">
        <f>Q208-M233</f>
        <v>0</v>
      </c>
      <c r="O233" s="46"/>
      <c r="P233" s="46"/>
      <c r="Q233" s="47"/>
    </row>
    <row r="234" spans="1:17" ht="13.5" hidden="1" thickBot="1">
      <c r="A234" s="19"/>
      <c r="B234" s="19"/>
      <c r="C234" s="19"/>
      <c r="D234" s="19"/>
      <c r="E234" s="19"/>
      <c r="F234" s="19"/>
      <c r="G234" s="19"/>
      <c r="H234" s="19"/>
      <c r="I234" s="19"/>
      <c r="J234" s="19"/>
      <c r="K234" s="19"/>
      <c r="L234" s="19"/>
      <c r="M234" s="50">
        <f t="shared" si="13"/>
        <v>360</v>
      </c>
      <c r="N234" s="51">
        <f>Q208-M234</f>
        <v>0</v>
      </c>
      <c r="O234" s="51"/>
      <c r="P234" s="51"/>
      <c r="Q234" s="52"/>
    </row>
  </sheetData>
  <sheetProtection password="CC59" sheet="1"/>
  <mergeCells count="14">
    <mergeCell ref="B6:D6"/>
    <mergeCell ref="G6:I6"/>
    <mergeCell ref="B10:J10"/>
    <mergeCell ref="B25:I25"/>
    <mergeCell ref="B7:D7"/>
    <mergeCell ref="G7:I7"/>
    <mergeCell ref="B8:D8"/>
    <mergeCell ref="G8:I8"/>
    <mergeCell ref="B5:D5"/>
    <mergeCell ref="G5:I5"/>
    <mergeCell ref="B3:E3"/>
    <mergeCell ref="G3:J3"/>
    <mergeCell ref="B4:D4"/>
    <mergeCell ref="G4:I4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DFPrenovost</dc:creator>
  <cp:keywords/>
  <dc:description/>
  <cp:lastModifiedBy>rwallace</cp:lastModifiedBy>
  <cp:lastPrinted>2011-03-09T22:14:18Z</cp:lastPrinted>
  <dcterms:created xsi:type="dcterms:W3CDTF">2008-02-04T19:21:49Z</dcterms:created>
  <dcterms:modified xsi:type="dcterms:W3CDTF">2011-03-09T22:44:57Z</dcterms:modified>
  <cp:category/>
  <cp:version/>
  <cp:contentType/>
  <cp:contentStatus/>
</cp:coreProperties>
</file>